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0d7243b57f7a16e/2025/PP-2025-PP-1_Türisalu_oja/I_Seletuskiri ja mahud/"/>
    </mc:Choice>
  </mc:AlternateContent>
  <xr:revisionPtr revIDLastSave="5495" documentId="13_ncr:1_{2FD6CB33-9EFE-48B4-83D6-2C5DD89A3E86}" xr6:coauthVersionLast="47" xr6:coauthVersionMax="47" xr10:uidLastSave="{B72FFFB0-FBC2-4A96-BABE-9D7DD36935AB}"/>
  <bookViews>
    <workbookView xWindow="-120" yWindow="-120" windowWidth="38640" windowHeight="21120" tabRatio="940" xr2:uid="{00000000-000D-0000-FFFF-FFFF00000000}"/>
  </bookViews>
  <sheets>
    <sheet name="Tab. 1-Mahtude kokkuvõte" sheetId="37" r:id="rId1"/>
    <sheet name="Tab. 2-Vajalike ehitusmaterjal." sheetId="38" r:id="rId2"/>
    <sheet name="Tab. 3-Uurimistööd" sheetId="25" r:id="rId3"/>
    <sheet name="Tab. 4-Reeperid" sheetId="26" r:id="rId4"/>
    <sheet name="Tab. 5-Ettevalmistus" sheetId="35" r:id="rId5"/>
    <sheet name="Tab. 6-Voolusäng" sheetId="36" r:id="rId6"/>
    <sheet name="Tab. 7-Truubid" sheetId="28" r:id="rId7"/>
    <sheet name="Tab. 8-Maksumus" sheetId="39" r:id="rId8"/>
    <sheet name="Truubid_ABI" sheetId="29" r:id="rId9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39" l="1"/>
  <c r="F53" i="39" s="1"/>
  <c r="F51" i="39"/>
  <c r="F49" i="39"/>
  <c r="F50" i="39"/>
  <c r="F44" i="39"/>
  <c r="F45" i="39"/>
  <c r="F46" i="39"/>
  <c r="F43" i="39"/>
  <c r="E38" i="39"/>
  <c r="E37" i="39"/>
  <c r="F37" i="39" s="1"/>
  <c r="F38" i="39"/>
  <c r="F39" i="39"/>
  <c r="F40" i="39"/>
  <c r="F41" i="39"/>
  <c r="F36" i="39"/>
  <c r="E26" i="39"/>
  <c r="F47" i="39" l="1"/>
  <c r="D49" i="39" l="1"/>
  <c r="D44" i="39"/>
  <c r="D45" i="39"/>
  <c r="D46" i="39"/>
  <c r="D43" i="39"/>
  <c r="D37" i="39"/>
  <c r="D38" i="39"/>
  <c r="D39" i="39"/>
  <c r="D40" i="39"/>
  <c r="D41" i="39"/>
  <c r="D36" i="39"/>
  <c r="D26" i="39"/>
  <c r="F26" i="39" s="1"/>
  <c r="D27" i="39"/>
  <c r="F27" i="39" s="1"/>
  <c r="D28" i="39"/>
  <c r="F28" i="39" s="1"/>
  <c r="D29" i="39"/>
  <c r="F29" i="39" s="1"/>
  <c r="D30" i="39"/>
  <c r="F30" i="39" s="1"/>
  <c r="D31" i="39"/>
  <c r="F31" i="39" s="1"/>
  <c r="D32" i="39"/>
  <c r="F32" i="39" s="1"/>
  <c r="D33" i="39"/>
  <c r="F33" i="39" s="1"/>
  <c r="D34" i="39"/>
  <c r="F34" i="39" s="1"/>
  <c r="D25" i="39"/>
  <c r="F25" i="39" s="1"/>
  <c r="D16" i="39"/>
  <c r="F16" i="39" s="1"/>
  <c r="D17" i="39"/>
  <c r="F17" i="39" s="1"/>
  <c r="D18" i="39"/>
  <c r="F18" i="39" s="1"/>
  <c r="D19" i="39"/>
  <c r="F19" i="39" s="1"/>
  <c r="D20" i="39"/>
  <c r="F20" i="39" s="1"/>
  <c r="D21" i="39"/>
  <c r="F21" i="39" s="1"/>
  <c r="D22" i="39"/>
  <c r="F22" i="39" s="1"/>
  <c r="D15" i="39"/>
  <c r="F15" i="39" s="1"/>
  <c r="D5" i="39"/>
  <c r="F5" i="39" s="1"/>
  <c r="D6" i="39"/>
  <c r="F6" i="39" s="1"/>
  <c r="D7" i="39"/>
  <c r="F7" i="39" s="1"/>
  <c r="D8" i="39"/>
  <c r="F8" i="39" s="1"/>
  <c r="D9" i="39"/>
  <c r="F9" i="39" s="1"/>
  <c r="D10" i="39"/>
  <c r="F10" i="39" s="1"/>
  <c r="D11" i="39"/>
  <c r="F11" i="39" s="1"/>
  <c r="D12" i="39"/>
  <c r="F12" i="39" s="1"/>
  <c r="D4" i="39"/>
  <c r="F4" i="39" s="1"/>
  <c r="D21" i="37"/>
  <c r="N25" i="36"/>
  <c r="L25" i="36"/>
  <c r="D22" i="37"/>
  <c r="D29" i="38"/>
  <c r="D30" i="38"/>
  <c r="D31" i="38"/>
  <c r="D32" i="38"/>
  <c r="D28" i="38"/>
  <c r="D33" i="37"/>
  <c r="D26" i="38" s="1"/>
  <c r="O11" i="28"/>
  <c r="O10" i="28"/>
  <c r="O9" i="28"/>
  <c r="D38" i="37"/>
  <c r="D35" i="37"/>
  <c r="D27" i="38" s="1"/>
  <c r="G10" i="29"/>
  <c r="D32" i="37" s="1"/>
  <c r="G11" i="29"/>
  <c r="G12" i="29"/>
  <c r="G13" i="29"/>
  <c r="G14" i="29"/>
  <c r="G15" i="29"/>
  <c r="G16" i="29"/>
  <c r="G17" i="29"/>
  <c r="G18" i="29"/>
  <c r="G19" i="29"/>
  <c r="D11" i="29"/>
  <c r="D10" i="29"/>
  <c r="E10" i="29"/>
  <c r="F11" i="29"/>
  <c r="E11" i="29"/>
  <c r="E12" i="29"/>
  <c r="E15" i="29"/>
  <c r="E14" i="29"/>
  <c r="E13" i="29"/>
  <c r="E17" i="29"/>
  <c r="E16" i="29"/>
  <c r="D19" i="29"/>
  <c r="D18" i="29"/>
  <c r="D12" i="29"/>
  <c r="D33" i="38"/>
  <c r="D34" i="38"/>
  <c r="J6" i="29"/>
  <c r="N6" i="29" s="1"/>
  <c r="F6" i="29"/>
  <c r="D6" i="29"/>
  <c r="F5" i="29"/>
  <c r="D5" i="29"/>
  <c r="J4" i="29"/>
  <c r="N4" i="29" s="1"/>
  <c r="F4" i="29"/>
  <c r="G4" i="29" s="1"/>
  <c r="D4" i="29"/>
  <c r="E4" i="29"/>
  <c r="D13" i="38"/>
  <c r="D24" i="38"/>
  <c r="D23" i="38"/>
  <c r="D22" i="38"/>
  <c r="D21" i="38"/>
  <c r="D19" i="38"/>
  <c r="F23" i="39" l="1"/>
  <c r="F13" i="39"/>
  <c r="H6" i="29"/>
  <c r="L6" i="29"/>
  <c r="H4" i="29"/>
  <c r="L4" i="29"/>
  <c r="D29" i="37" l="1"/>
  <c r="D31" i="37"/>
  <c r="D30" i="37"/>
  <c r="I13" i="28"/>
  <c r="P13" i="28" l="1"/>
  <c r="Q11" i="28"/>
  <c r="P9" i="28"/>
  <c r="D28" i="37"/>
  <c r="D27" i="37"/>
  <c r="L13" i="28"/>
  <c r="D26" i="37"/>
  <c r="D5" i="38" s="1"/>
  <c r="D25" i="37"/>
  <c r="D4" i="38" s="1"/>
  <c r="D16" i="37"/>
  <c r="D20" i="37" s="1"/>
  <c r="D18" i="37"/>
  <c r="D17" i="37"/>
  <c r="D15" i="37"/>
  <c r="D25" i="36"/>
  <c r="D5" i="36"/>
  <c r="D20" i="36"/>
  <c r="D7" i="36"/>
  <c r="D13" i="37"/>
  <c r="D11" i="37"/>
  <c r="D12" i="37" s="1"/>
  <c r="D9" i="37"/>
  <c r="D10" i="37" s="1"/>
  <c r="H11" i="35"/>
  <c r="D7" i="37" s="1"/>
  <c r="D8" i="37" s="1"/>
  <c r="L10" i="35"/>
  <c r="J10" i="35"/>
  <c r="H10" i="35"/>
  <c r="D5" i="37"/>
  <c r="D6" i="37" s="1"/>
  <c r="L7" i="35"/>
  <c r="G7" i="35"/>
  <c r="I7" i="35"/>
  <c r="J7" i="35"/>
  <c r="J11" i="35"/>
  <c r="I11" i="35"/>
  <c r="G11" i="35"/>
  <c r="L8" i="35"/>
  <c r="G8" i="35"/>
  <c r="L11" i="35"/>
  <c r="I10" i="35"/>
  <c r="D11" i="35"/>
  <c r="D10" i="35"/>
  <c r="D8" i="35"/>
  <c r="D9" i="35"/>
  <c r="D6" i="35"/>
  <c r="D5" i="35"/>
  <c r="D7" i="35"/>
  <c r="L6" i="35"/>
  <c r="J6" i="35"/>
  <c r="D19" i="37" l="1"/>
  <c r="D8" i="36"/>
  <c r="F8" i="36"/>
  <c r="J8" i="36" s="1"/>
  <c r="D24" i="36"/>
  <c r="D12" i="36"/>
  <c r="F12" i="36" s="1"/>
  <c r="J12" i="36" s="1"/>
  <c r="D11" i="36"/>
  <c r="F11" i="36" s="1"/>
  <c r="J11" i="36" s="1"/>
  <c r="D23" i="36"/>
  <c r="D22" i="36"/>
  <c r="D21" i="36"/>
  <c r="D19" i="36"/>
  <c r="D18" i="36"/>
  <c r="D17" i="36"/>
  <c r="F17" i="36" s="1"/>
  <c r="J17" i="36" s="1"/>
  <c r="D16" i="36"/>
  <c r="F16" i="36" s="1"/>
  <c r="J16" i="36" s="1"/>
  <c r="D15" i="36"/>
  <c r="F15" i="36" s="1"/>
  <c r="J15" i="36" s="1"/>
  <c r="D14" i="36"/>
  <c r="F14" i="36" s="1"/>
  <c r="J14" i="36" s="1"/>
  <c r="D13" i="36"/>
  <c r="F13" i="36" s="1"/>
  <c r="J13" i="36" s="1"/>
  <c r="D10" i="36"/>
  <c r="F10" i="36" s="1"/>
  <c r="J10" i="36" s="1"/>
  <c r="D9" i="36"/>
  <c r="F9" i="36" s="1"/>
  <c r="J9" i="36" s="1"/>
  <c r="D6" i="36"/>
  <c r="G6" i="36" s="1"/>
  <c r="G25" i="36" s="1"/>
  <c r="C47" i="28"/>
  <c r="I42" i="28"/>
  <c r="G42" i="28" s="1"/>
  <c r="C42" i="28"/>
  <c r="E42" i="28" s="1"/>
  <c r="J44" i="28" s="1"/>
  <c r="J42" i="28" s="1"/>
  <c r="H24" i="36" l="1"/>
  <c r="F24" i="36"/>
  <c r="J24" i="36" s="1"/>
  <c r="H18" i="36"/>
  <c r="F18" i="36"/>
  <c r="J18" i="36" s="1"/>
  <c r="H19" i="36"/>
  <c r="F19" i="36"/>
  <c r="F21" i="36"/>
  <c r="H21" i="36"/>
  <c r="H22" i="36"/>
  <c r="F22" i="36"/>
  <c r="H23" i="36"/>
  <c r="F23" i="36"/>
  <c r="J23" i="36" s="1"/>
  <c r="F25" i="36"/>
  <c r="K42" i="28"/>
  <c r="C35" i="28"/>
  <c r="C34" i="28"/>
  <c r="C33" i="28"/>
  <c r="D32" i="28"/>
  <c r="D35" i="28" s="1"/>
  <c r="E32" i="28"/>
  <c r="E33" i="28" s="1"/>
  <c r="F32" i="28"/>
  <c r="F34" i="28" s="1"/>
  <c r="C32" i="28"/>
  <c r="K13" i="28"/>
  <c r="Q13" i="28"/>
  <c r="J21" i="36" l="1"/>
  <c r="J22" i="36"/>
  <c r="J19" i="36"/>
  <c r="J25" i="36" s="1"/>
  <c r="H25" i="36"/>
  <c r="J26" i="36" s="1"/>
  <c r="E35" i="28"/>
  <c r="E34" i="28"/>
  <c r="D34" i="28"/>
  <c r="F33" i="28"/>
  <c r="D33" i="28"/>
  <c r="F35" i="28"/>
  <c r="F26" i="36" l="1"/>
  <c r="E5" i="29" l="1"/>
  <c r="G5" i="29"/>
  <c r="O6" i="29" l="1"/>
  <c r="K6" i="29" l="1"/>
  <c r="G6" i="29"/>
  <c r="E6" i="29"/>
  <c r="M6" i="29"/>
  <c r="I6" i="29"/>
  <c r="C7" i="29" l="1"/>
  <c r="I4" i="29" l="1"/>
  <c r="E7" i="29"/>
  <c r="D6" i="38" s="1"/>
  <c r="G7" i="29"/>
  <c r="D7" i="38" s="1"/>
  <c r="I7" i="29" l="1"/>
  <c r="D8" i="38" l="1"/>
  <c r="K4" i="29" l="1"/>
  <c r="K7" i="29" s="1"/>
  <c r="D9" i="38" s="1"/>
  <c r="O4" i="29" l="1"/>
  <c r="O7" i="29" s="1"/>
  <c r="D11" i="38" s="1"/>
  <c r="M4" i="29"/>
  <c r="M7" i="29" s="1"/>
  <c r="D10" i="38" s="1"/>
</calcChain>
</file>

<file path=xl/sharedStrings.xml><?xml version="1.0" encoding="utf-8"?>
<sst xmlns="http://schemas.openxmlformats.org/spreadsheetml/2006/main" count="567" uniqueCount="315">
  <si>
    <t>Mõõtühik</t>
  </si>
  <si>
    <t>ha</t>
  </si>
  <si>
    <t>km</t>
  </si>
  <si>
    <t>tk</t>
  </si>
  <si>
    <t>Kokku</t>
  </si>
  <si>
    <t>m³</t>
  </si>
  <si>
    <t>tm</t>
  </si>
  <si>
    <t>m</t>
  </si>
  <si>
    <t>töö</t>
  </si>
  <si>
    <t>Kogus</t>
  </si>
  <si>
    <t>kg</t>
  </si>
  <si>
    <t>Puuvaiad</t>
  </si>
  <si>
    <t>m²</t>
  </si>
  <si>
    <t>nimetus</t>
  </si>
  <si>
    <t>Reeperid on mõõdistatud koordinaatsüsteemis L-EST97, kõrgussüsteemis EH2000</t>
  </si>
  <si>
    <t>Märkused</t>
  </si>
  <si>
    <t>kg/tk</t>
  </si>
  <si>
    <t>Uurimistöö</t>
  </si>
  <si>
    <t>mõõt-ühik</t>
  </si>
  <si>
    <t>maht</t>
  </si>
  <si>
    <t>tegemise algus- ja lõppkuupäev</t>
  </si>
  <si>
    <t>tegija nimi</t>
  </si>
  <si>
    <t>Reeperi</t>
  </si>
  <si>
    <t>number</t>
  </si>
  <si>
    <t>klass</t>
  </si>
  <si>
    <t>kirjeldus</t>
  </si>
  <si>
    <t>asukoha</t>
  </si>
  <si>
    <t>kõrgusarv m</t>
  </si>
  <si>
    <t>koordinaadid</t>
  </si>
  <si>
    <t>x</t>
  </si>
  <si>
    <t>y</t>
  </si>
  <si>
    <t>Huumusmuld</t>
  </si>
  <si>
    <t>Kivid Ø 15-30 cm</t>
  </si>
  <si>
    <t>Puittaimestiku raie ha</t>
  </si>
  <si>
    <t>Märkused:</t>
  </si>
  <si>
    <t>Ehitusmaterjali või -toote nimetus</t>
  </si>
  <si>
    <t>Puittaimestiku raie, peenpuistu (PP)</t>
  </si>
  <si>
    <t>tüüp</t>
  </si>
  <si>
    <t>2 otsakut</t>
  </si>
  <si>
    <t>truupide</t>
  </si>
  <si>
    <t>arv (tk)</t>
  </si>
  <si>
    <t>kivid Ø15-30 cm</t>
  </si>
  <si>
    <t>erosioonitõkkematt</t>
  </si>
  <si>
    <t>heinaseeme</t>
  </si>
  <si>
    <t>puuvaiad</t>
  </si>
  <si>
    <t>tk/tk</t>
  </si>
  <si>
    <t>Jrk nr</t>
  </si>
  <si>
    <t>KOKKU</t>
  </si>
  <si>
    <t>Materjali kulu otsakutele ja veeviimaritele</t>
  </si>
  <si>
    <t>Truubi otsaku</t>
  </si>
  <si>
    <t>m³/tk</t>
  </si>
  <si>
    <t>m²/tk</t>
  </si>
  <si>
    <t>Geotekstiil, 2 profiil (NGS 2)</t>
  </si>
  <si>
    <t>Heinaseeme</t>
  </si>
  <si>
    <t>1. Puistematerjalide mahud on profiilsed, tihendusteguriga läbi korrutamata</t>
  </si>
  <si>
    <r>
      <t>m</t>
    </r>
    <r>
      <rPr>
        <vertAlign val="superscript"/>
        <sz val="10"/>
        <rFont val="Arial"/>
        <family val="2"/>
        <charset val="186"/>
      </rPr>
      <t>2</t>
    </r>
  </si>
  <si>
    <r>
      <t>m</t>
    </r>
    <r>
      <rPr>
        <vertAlign val="superscript"/>
        <sz val="10"/>
        <rFont val="Arial"/>
        <family val="2"/>
        <charset val="186"/>
      </rPr>
      <t>3</t>
    </r>
  </si>
  <si>
    <r>
      <t>m</t>
    </r>
    <r>
      <rPr>
        <vertAlign val="superscript"/>
        <sz val="10"/>
        <color rgb="FF000000"/>
        <rFont val="Arial"/>
        <family val="2"/>
        <charset val="186"/>
      </rPr>
      <t>3</t>
    </r>
  </si>
  <si>
    <t>Truupide torustikud ja otsakud, kindlustised</t>
  </si>
  <si>
    <t>Kruus fr 0/32 mm (Pos 6)</t>
  </si>
  <si>
    <t xml:space="preserve">Lähte- ja kaardimaterjalidega tutvumine,                                                                                              kitsendusi põhjustavate objektide välja selgitamine                                                              </t>
  </si>
  <si>
    <t>huumusmuld</t>
  </si>
  <si>
    <t>Kõrge võsa raie (KV)</t>
  </si>
  <si>
    <t>Kõrge võsa vedu, 300 m (KV)</t>
  </si>
  <si>
    <t>Puittaimestiku raie, jämepuistu (JP)</t>
  </si>
  <si>
    <t>3. Truupide geotekstiili ja erosioonitõkkemati mahtude puhul on arvestatud ülekatetega</t>
  </si>
  <si>
    <t>Tüveste vedu 300 m, peenpuistu (PP)</t>
  </si>
  <si>
    <t>Tüveste vedu 300 m, jämepuistu (JP)</t>
  </si>
  <si>
    <t>Ekspluatatsioonieelne sette eemaldamine (10% põhikaevest)</t>
  </si>
  <si>
    <t>Truupide mahamärkimine</t>
  </si>
  <si>
    <t>PK</t>
  </si>
  <si>
    <t>KOK</t>
  </si>
  <si>
    <t>Madala võsa raie (MV)</t>
  </si>
  <si>
    <t>Madala võsa vedu, 300 m (MV)</t>
  </si>
  <si>
    <t>4. Erosioonitõkkematt vastab EN ISO 10319:2015 ja EN ISO 9863-1:2016</t>
  </si>
  <si>
    <t>Juurde veetav mineraalpinnas</t>
  </si>
  <si>
    <t>Asfalt AC16 surf 70/100</t>
  </si>
  <si>
    <t>Kultuurtehniline uurimistöö</t>
  </si>
  <si>
    <t>Hüdrotehniline uurimistöö</t>
  </si>
  <si>
    <t>puistu</t>
  </si>
  <si>
    <t>Geotekstiil, 4. profiil (NGS 4), tõmbetugevus 20/20 kN/m, mitte kootud kangas, laius 5,0 m</t>
  </si>
  <si>
    <t>Killustik fr 32/63 mm</t>
  </si>
  <si>
    <t>Kiilumiskillustik fr 16/32 mm</t>
  </si>
  <si>
    <t>Kiilumiskillustik fr 4/16 mm</t>
  </si>
  <si>
    <t>Asfalt AC20 base 70/100</t>
  </si>
  <si>
    <t>2. Geosünteetidel on arvestatud ülekattemahtudega (tee 1,05, teerajatised 1,20)</t>
  </si>
  <si>
    <t>Erosioonitõkkematt, 100% naturaalsest materjalist, biolagunev</t>
  </si>
  <si>
    <t>pikkus</t>
  </si>
  <si>
    <t>Kaeve laialiajamine (60% kaevest)</t>
  </si>
  <si>
    <t>käsitsi</t>
  </si>
  <si>
    <t>Ehitusaegsete filtratsioonitõkke ekraanide paigaldamine</t>
  </si>
  <si>
    <t>Keskkonnakaitserajatised</t>
  </si>
  <si>
    <t xml:space="preserve"> Geotekstiil, 2 profiil (NGS 2), vee läbilaskvus &gt; 0,05 m/s</t>
  </si>
  <si>
    <t>Puitlaastuga filterkotid</t>
  </si>
  <si>
    <t>Kivid Ø 30-40 cm</t>
  </si>
  <si>
    <t>Ümarpuit  Ø 10-15 cm</t>
  </si>
  <si>
    <t>Keskkonnakaitserajatiste ehitamise vajaduse hindamine</t>
  </si>
  <si>
    <t>Andre Näkk</t>
  </si>
  <si>
    <t>Truupide tehnilise seisukorra hindamine</t>
  </si>
  <si>
    <t>PT</t>
  </si>
  <si>
    <t>BT</t>
  </si>
  <si>
    <t>Ø100 KOK</t>
  </si>
  <si>
    <t>geotekstiil NGS1/NGS2</t>
  </si>
  <si>
    <r>
      <t>D</t>
    </r>
    <r>
      <rPr>
        <vertAlign val="subscript"/>
        <sz val="10"/>
        <rFont val="Arial"/>
        <family val="2"/>
        <charset val="186"/>
      </rPr>
      <t>i</t>
    </r>
    <r>
      <rPr>
        <sz val="10"/>
        <rFont val="Arial"/>
        <family val="2"/>
        <charset val="186"/>
      </rPr>
      <t>=100 cm plasttruubi torustiku, tüüp 100PT, ehitamine (profileeritud plasttoru, SN8)</t>
    </r>
  </si>
  <si>
    <t>Ø 100 cm plasttruubi kiviotsaku kivikindlustusega ehitamine (tüüp KOK)</t>
  </si>
  <si>
    <t>Türisalu oja topo-geodeetilised uurimistööd</t>
  </si>
  <si>
    <t>25.09.2024</t>
  </si>
  <si>
    <t>01.09.2024-25.09.2024</t>
  </si>
  <si>
    <t>Olemasoleva truubi</t>
  </si>
  <si>
    <t>nr</t>
  </si>
  <si>
    <t>asukoht piketi nr</t>
  </si>
  <si>
    <t>siseläbimõõt</t>
  </si>
  <si>
    <t>cm</t>
  </si>
  <si>
    <t>materjal</t>
  </si>
  <si>
    <t>setet kuni ½ truubi läbimõõdust</t>
  </si>
  <si>
    <t>setet üle ½ truubi läbimõõdust</t>
  </si>
  <si>
    <t>truubi siseläbimõõt cm</t>
  </si>
  <si>
    <t>pikkus m</t>
  </si>
  <si>
    <t>Truubi rekonstrueerimine</t>
  </si>
  <si>
    <t>plast</t>
  </si>
  <si>
    <t>teras</t>
  </si>
  <si>
    <t>toru asendamine m</t>
  </si>
  <si>
    <t>truubi otsaku ehitamine</t>
  </si>
  <si>
    <t>Truubi lammutamine</t>
  </si>
  <si>
    <t xml:space="preserve">toru välja-tõstmine </t>
  </si>
  <si>
    <t>otsaku lammu-tamine</t>
  </si>
  <si>
    <t>põhja kõrgusarv</t>
  </si>
  <si>
    <t>Täite-materjali maht</t>
  </si>
  <si>
    <t>Täiendav kaeve-maht</t>
  </si>
  <si>
    <t>Tee asfalt-katte taasta-mine</t>
  </si>
  <si>
    <t>T/4</t>
  </si>
  <si>
    <t>T/5</t>
  </si>
  <si>
    <t>T/6</t>
  </si>
  <si>
    <t>T/7</t>
  </si>
  <si>
    <t>Projekteeritud truubi tähis</t>
  </si>
  <si>
    <t>torud kohati vajunud ca 5 cm, betoonotsakud korras</t>
  </si>
  <si>
    <t>2x80</t>
  </si>
  <si>
    <t>torud paigaldatud liiga kõrgele, omavaheline paigalduskaugus tagamata, otsakud puuduvad, vesi uuristab läbi killustiku</t>
  </si>
  <si>
    <t>3X60</t>
  </si>
  <si>
    <t>Nurme-nuku tee</t>
  </si>
  <si>
    <t>setet ca ⅒  läbimõõdust, betoonotsakud korras</t>
  </si>
  <si>
    <t>Truubi settest puhastamine m</t>
  </si>
  <si>
    <t>torud paigaldatud liiga kõrgele, omavaheline paigalduskaugus tagamata, otsakud puuduvad, vesi uuristab tee muldkeha</t>
  </si>
  <si>
    <t>TT</t>
  </si>
  <si>
    <t>täitepinnaseta "paljas" toru, otsakud puuduvad, vastukaldega</t>
  </si>
  <si>
    <t>4x60</t>
  </si>
  <si>
    <t>2x8</t>
  </si>
  <si>
    <t>3x5</t>
  </si>
  <si>
    <t>2x6</t>
  </si>
  <si>
    <t>2x9 2x10</t>
  </si>
  <si>
    <t>setet ca ½ läbimõõdust, omavaheline paigaldus-kaugus tagamata, otsakud puuduvad, torud osaliselt lagunenud, vastukaldega</t>
  </si>
  <si>
    <t>3x30</t>
  </si>
  <si>
    <t>asbest</t>
  </si>
  <si>
    <t>3x9,5</t>
  </si>
  <si>
    <t>torud vee all, omavaheline paigalduskaugus tagamata, otsakud puuduvad</t>
  </si>
  <si>
    <t>11390 Tallinna-Ranna-mõisa-Klooga-ranna tee km 24,75</t>
  </si>
  <si>
    <t xml:space="preserve">
1982059 Otitooma tee</t>
  </si>
  <si>
    <t>1982059 Otitooma tee                km 0,90</t>
  </si>
  <si>
    <t>1980061 Talvoja tee                      km 0,26</t>
  </si>
  <si>
    <t>Tabel 3. Uurimistööde loetelu</t>
  </si>
  <si>
    <t>Eesvoolu lõigu</t>
  </si>
  <si>
    <t>lõpp-pikett</t>
  </si>
  <si>
    <t>algus-pikett</t>
  </si>
  <si>
    <t>Roht-taimede niitmine</t>
  </si>
  <si>
    <t>Võsa ja peen-puistu raie</t>
  </si>
  <si>
    <t>võsa</t>
  </si>
  <si>
    <t>madal</t>
  </si>
  <si>
    <t>kõrge</t>
  </si>
  <si>
    <t>peen</t>
  </si>
  <si>
    <t>jäme</t>
  </si>
  <si>
    <t>üksikute puudega maa-ala</t>
  </si>
  <si>
    <t>Kändude juurimine</t>
  </si>
  <si>
    <r>
      <t>m</t>
    </r>
    <r>
      <rPr>
        <b/>
        <vertAlign val="superscript"/>
        <sz val="10"/>
        <color theme="1"/>
        <rFont val="Arial"/>
        <family val="2"/>
        <charset val="186"/>
      </rPr>
      <t>3</t>
    </r>
  </si>
  <si>
    <t>Olemas-oleva mulla-valli tasanda-mine</t>
  </si>
  <si>
    <t>Lama-puidu likvi-deeri-mine</t>
  </si>
  <si>
    <t>Kopra-paisu likvi-deeri-mine</t>
  </si>
  <si>
    <t>Muu voolu-takistuse likvideeri-mine</t>
  </si>
  <si>
    <r>
      <t>m</t>
    </r>
    <r>
      <rPr>
        <b/>
        <vertAlign val="superscript"/>
        <sz val="10"/>
        <color theme="1"/>
        <rFont val="Arial"/>
        <family val="2"/>
        <charset val="186"/>
      </rPr>
      <t>2</t>
    </r>
  </si>
  <si>
    <t>Sette eemaldamine</t>
  </si>
  <si>
    <t>mehaani-liselt</t>
  </si>
  <si>
    <t>Mullavalli laialiajamine</t>
  </si>
  <si>
    <t>põllul</t>
  </si>
  <si>
    <t>metsas</t>
  </si>
  <si>
    <t>Vee-viimarid valli alla</t>
  </si>
  <si>
    <t>Sisse-voolu-nõva uuenda-mine</t>
  </si>
  <si>
    <t>Nõlva tasanda-mine sette-kopaga</t>
  </si>
  <si>
    <t>Voolu-sängi kindlusta-mine</t>
  </si>
  <si>
    <t>Kindlus-tuse tüüp</t>
  </si>
  <si>
    <t>Uuendustöö kirjeldus</t>
  </si>
  <si>
    <t>Töömaht</t>
  </si>
  <si>
    <t>1. Ettevalmistavad tööd</t>
  </si>
  <si>
    <t>2. Voolusängi puhastamine</t>
  </si>
  <si>
    <t>3. Truupide rekonstrueerimine</t>
  </si>
  <si>
    <t>4. Keskkonnakaitserajatiste rajamine</t>
  </si>
  <si>
    <t>Tabel 2. Vajalike ehitusmaterjalide ja -toodete andmed</t>
  </si>
  <si>
    <t>Mõõt-ühik</t>
  </si>
  <si>
    <t>Töö-maht</t>
  </si>
  <si>
    <r>
      <t xml:space="preserve">Ühiku maksumus </t>
    </r>
    <r>
      <rPr>
        <b/>
        <sz val="10"/>
        <color theme="1"/>
        <rFont val="Aptos Narrow"/>
        <family val="2"/>
      </rPr>
      <t>€</t>
    </r>
  </si>
  <si>
    <r>
      <t xml:space="preserve">Töö maksumus </t>
    </r>
    <r>
      <rPr>
        <b/>
        <sz val="10"/>
        <color theme="1"/>
        <rFont val="Aptos Narrow"/>
        <family val="2"/>
      </rPr>
      <t>€</t>
    </r>
  </si>
  <si>
    <t>Keila jõgi</t>
  </si>
  <si>
    <t>Q3</t>
  </si>
  <si>
    <t>Q95ökol</t>
  </si>
  <si>
    <t>Qkesk</t>
  </si>
  <si>
    <t>DN1000</t>
  </si>
  <si>
    <t>D (m)</t>
  </si>
  <si>
    <r>
      <t>H</t>
    </r>
    <r>
      <rPr>
        <b/>
        <vertAlign val="subscript"/>
        <sz val="11"/>
        <rFont val="Calibri"/>
        <family val="2"/>
        <charset val="204"/>
        <scheme val="minor"/>
      </rPr>
      <t>0</t>
    </r>
    <r>
      <rPr>
        <b/>
        <sz val="11"/>
        <rFont val="Calibri"/>
        <family val="2"/>
        <charset val="186"/>
        <scheme val="minor"/>
      </rPr>
      <t xml:space="preserve"> (m)</t>
    </r>
  </si>
  <si>
    <r>
      <t>m</t>
    </r>
    <r>
      <rPr>
        <b/>
        <vertAlign val="subscript"/>
        <sz val="11"/>
        <rFont val="Calibri"/>
        <family val="2"/>
        <charset val="204"/>
        <scheme val="minor"/>
      </rPr>
      <t>r</t>
    </r>
  </si>
  <si>
    <r>
      <t>h</t>
    </r>
    <r>
      <rPr>
        <b/>
        <vertAlign val="subscript"/>
        <sz val="11"/>
        <rFont val="Calibri"/>
        <family val="2"/>
        <charset val="204"/>
        <scheme val="minor"/>
      </rPr>
      <t>sv</t>
    </r>
    <r>
      <rPr>
        <b/>
        <sz val="11"/>
        <rFont val="Calibri"/>
        <family val="2"/>
        <charset val="186"/>
        <scheme val="minor"/>
      </rPr>
      <t xml:space="preserve"> (m)</t>
    </r>
  </si>
  <si>
    <r>
      <t>i</t>
    </r>
    <r>
      <rPr>
        <b/>
        <vertAlign val="subscript"/>
        <sz val="11"/>
        <color theme="1"/>
        <rFont val="Calibri"/>
        <family val="2"/>
        <charset val="204"/>
        <scheme val="minor"/>
      </rPr>
      <t>tr</t>
    </r>
  </si>
  <si>
    <r>
      <t>b</t>
    </r>
    <r>
      <rPr>
        <b/>
        <vertAlign val="subscript"/>
        <sz val="11"/>
        <color theme="1"/>
        <rFont val="Calibri"/>
        <family val="2"/>
        <charset val="204"/>
        <scheme val="minor"/>
      </rPr>
      <t>k</t>
    </r>
    <r>
      <rPr>
        <b/>
        <sz val="11"/>
        <color theme="1"/>
        <rFont val="Calibri"/>
        <family val="2"/>
        <charset val="186"/>
        <scheme val="minor"/>
      </rPr>
      <t xml:space="preserve"> (m)</t>
    </r>
  </si>
  <si>
    <r>
      <t>σ</t>
    </r>
    <r>
      <rPr>
        <b/>
        <vertAlign val="subscript"/>
        <sz val="11"/>
        <rFont val="Calibri"/>
        <family val="2"/>
        <charset val="204"/>
      </rPr>
      <t>u</t>
    </r>
  </si>
  <si>
    <t>t (m)</t>
  </si>
  <si>
    <r>
      <t>Q (m</t>
    </r>
    <r>
      <rPr>
        <b/>
        <vertAlign val="superscript"/>
        <sz val="11"/>
        <rFont val="Calibri"/>
        <family val="2"/>
        <charset val="186"/>
      </rPr>
      <t>3</t>
    </r>
    <r>
      <rPr>
        <b/>
        <sz val="11"/>
        <rFont val="Calibri"/>
        <family val="2"/>
        <charset val="204"/>
      </rPr>
      <t>/s)</t>
    </r>
  </si>
  <si>
    <t>max</t>
  </si>
  <si>
    <t>2x9</t>
  </si>
  <si>
    <t>BKOK</t>
  </si>
  <si>
    <t>Tee kruus-katte taasta-mine</t>
  </si>
  <si>
    <t>T1</t>
  </si>
  <si>
    <t>T2</t>
  </si>
  <si>
    <t>T3</t>
  </si>
  <si>
    <t>T4</t>
  </si>
  <si>
    <t>T5</t>
  </si>
  <si>
    <t>T6</t>
  </si>
  <si>
    <t>T7</t>
  </si>
  <si>
    <t>PK 2+63</t>
  </si>
  <si>
    <t>0+03</t>
  </si>
  <si>
    <t>0+31</t>
  </si>
  <si>
    <t>0+82</t>
  </si>
  <si>
    <t>1+42</t>
  </si>
  <si>
    <t>2+15</t>
  </si>
  <si>
    <t>2+89</t>
  </si>
  <si>
    <t>3+35</t>
  </si>
  <si>
    <t>3+84</t>
  </si>
  <si>
    <t>4+14</t>
  </si>
  <si>
    <t>4+61</t>
  </si>
  <si>
    <t>5+00</t>
  </si>
  <si>
    <t>5+44</t>
  </si>
  <si>
    <t>5+78</t>
  </si>
  <si>
    <t>5+90</t>
  </si>
  <si>
    <t>6+04</t>
  </si>
  <si>
    <t>6+56</t>
  </si>
  <si>
    <t>7+00</t>
  </si>
  <si>
    <t>2+66</t>
  </si>
  <si>
    <t>7+39</t>
  </si>
  <si>
    <t>0+40</t>
  </si>
  <si>
    <t>paekivi piikamine</t>
  </si>
  <si>
    <t>paekivi</t>
  </si>
  <si>
    <t>Kaeve keskmine ristlõige</t>
  </si>
  <si>
    <t>Kändude juurimine trassilt</t>
  </si>
  <si>
    <t>Ojasängi piikamine paepinnases</t>
  </si>
  <si>
    <t>Ojasängi kaevamine, IV gr. pinnas</t>
  </si>
  <si>
    <t>Kaevepinnase äravedu eramaalt, 100 m</t>
  </si>
  <si>
    <r>
      <t>D</t>
    </r>
    <r>
      <rPr>
        <vertAlign val="subscript"/>
        <sz val="10"/>
        <rFont val="Arial"/>
        <family val="2"/>
        <charset val="186"/>
      </rPr>
      <t>i</t>
    </r>
    <r>
      <rPr>
        <sz val="10"/>
        <rFont val="Arial"/>
        <family val="2"/>
        <charset val="186"/>
      </rPr>
      <t>=80 cm binokkeltruubi torustiku, tüüp 2x80PT, ehitamine (profileeritud plasttoru, SN8)</t>
    </r>
  </si>
  <si>
    <t>Ø 80 cm binokkeltruubi kaldotsaku kivikindlustusega ehitamine (tüüp BKOK)</t>
  </si>
  <si>
    <t>0+00</t>
  </si>
  <si>
    <t>3+60</t>
  </si>
  <si>
    <t>0+39</t>
  </si>
  <si>
    <t>Ojasängi kaevamine käsitsi, IV gr. pinnas</t>
  </si>
  <si>
    <t>Ø 60 cm truubitoru (r/b) väljatõstmine ja utiliseerimine</t>
  </si>
  <si>
    <t>Ø 80 cm truubitoru (teras) väljatõstmine ja utiliseerimine</t>
  </si>
  <si>
    <t>Ø 80 cm truubitoru (plast) ajutine väljatõstmine</t>
  </si>
  <si>
    <t>Lisakaeve vana truubi eemaldamiseks</t>
  </si>
  <si>
    <t>Tabel 5. Ettevalmistavate tööde mahud</t>
  </si>
  <si>
    <t>Tabel 4. Reeperite loetelu</t>
  </si>
  <si>
    <t>Tabel 6. Voolusängi tehniline seisund ja kavandatud tööde mahud</t>
  </si>
  <si>
    <t>Tabel 7. Truupide tehniline seisund ja kavandatud tööde mahud</t>
  </si>
  <si>
    <t>riiklik</t>
  </si>
  <si>
    <t>6585350.0</t>
  </si>
  <si>
    <t>ehitisel olev geodeetiline märk</t>
  </si>
  <si>
    <t>Vana Tallinn - Rannamõisa - Kloogaranna mnt ääres asuva suvilaühistu "Rita 11" elamu nr 55 aiamüüris</t>
  </si>
  <si>
    <t>517683.2</t>
  </si>
  <si>
    <t>Kristjan Kutsar</t>
  </si>
  <si>
    <t>märts 2025</t>
  </si>
  <si>
    <t>Vaakumkanalisatsiooni ümberehitamine spetsialisti juhendamisel</t>
  </si>
  <si>
    <t>Aeratsioonikaevu ehitamine spetsialisti juhendamisel</t>
  </si>
  <si>
    <t>Ø 80 cm profileeritud plasttoru, SN8</t>
  </si>
  <si>
    <t>Ø 100 cm profileeritud plasttoru, SN9</t>
  </si>
  <si>
    <t>Teede materjalid</t>
  </si>
  <si>
    <t>Kruus fr 0/63 mm (Pos 4)</t>
  </si>
  <si>
    <t>Voolusängi kindlustised</t>
  </si>
  <si>
    <t>Kohapealne paekivi</t>
  </si>
  <si>
    <t>Tehnovõrkudega seotud materjalid</t>
  </si>
  <si>
    <t>Vaakumkanalisatsioonitoru DN160, koos tõusupõlvedega</t>
  </si>
  <si>
    <t>Finnfoam toruümbris 220x210x70 (soojustus)</t>
  </si>
  <si>
    <t>Finnfoam toruümbris 160x130x70 (soojustus)</t>
  </si>
  <si>
    <t>Aeratsioonikaev</t>
  </si>
  <si>
    <t>Aeratsioonikaevu ühendustoru DN63</t>
  </si>
  <si>
    <t>Ø100 KOK (Talvoja tee alune)</t>
  </si>
  <si>
    <t>Ø80 BKOK (Otitooma tee alune)</t>
  </si>
  <si>
    <t>Otitooma</t>
  </si>
  <si>
    <t>Talvoja</t>
  </si>
  <si>
    <r>
      <t>m</t>
    </r>
    <r>
      <rPr>
        <vertAlign val="superscript"/>
        <sz val="10"/>
        <color rgb="FF000000"/>
        <rFont val="Arial"/>
        <family val="2"/>
        <charset val="186"/>
      </rPr>
      <t>2</t>
    </r>
  </si>
  <si>
    <t>Tee asfaltkatte taastamine - kahekihilise asfaltkatte ehitamine koos tihendamisega AC16 surf 70/100, H=4 cm, AC20 base 70/100 H=5 cm</t>
  </si>
  <si>
    <t>Täitepinnas truupide ja tee muldkeha ehitamisel</t>
  </si>
  <si>
    <t>Sidekaabli ümberpaigaldamine</t>
  </si>
  <si>
    <t>Veetorustiku ja survekanalisatsiooni ümberpaigaldamine koos soojustamisega</t>
  </si>
  <si>
    <t>Voolusängi kindlustamine paekividega</t>
  </si>
  <si>
    <t>Sissevoolunõva uuendamine</t>
  </si>
  <si>
    <t>Teekatte taastamine</t>
  </si>
  <si>
    <t>Tehnovõrkude ümberehitamine</t>
  </si>
  <si>
    <t>Tee kruuskatte taastamine - geotekstiili NGS4, laius 5 m paigaldamine tasandatud muldkehale</t>
  </si>
  <si>
    <t>Tee asfaltkatte taastamine - geotekstiili NGS4, laius 5 m paigaldamine tasandatud muldkehale</t>
  </si>
  <si>
    <t>Tee asfaltkatte taastamine - killustikust teealuse ehitamine koos tihendamisega. Killustik fr 32/63 mm, kiilutud fr 16/32 mm + 4/16 mm, H=20 cm</t>
  </si>
  <si>
    <r>
      <t xml:space="preserve">3. Truupide rekonstrueerimine </t>
    </r>
    <r>
      <rPr>
        <sz val="10"/>
        <color rgb="FF000000"/>
        <rFont val="Arial"/>
        <family val="2"/>
        <charset val="186"/>
      </rPr>
      <t>(sh kaasnevad tööd - teekatte taastamine ja tehnovõrgud)</t>
    </r>
  </si>
  <si>
    <t xml:space="preserve">Tee kruuskatte taastamine - teealuse ehitamine koos tihendamisega.                         Kruus fr 0/63 mm. Pos 4, H=20 cm </t>
  </si>
  <si>
    <t>Tee kruuskatte taastamine - teekatte ehitamine koos tihendamisega.                         Kruus fr 0/32 mm. Pos 6, H=10 cm</t>
  </si>
  <si>
    <t>Uuendustööde eeldatav maksumus kokku</t>
  </si>
  <si>
    <t>Maksumus kokku</t>
  </si>
  <si>
    <t>Käibemaks 24%</t>
  </si>
  <si>
    <t xml:space="preserve">Tee kruuskatte taastamine - teealuse ehitamine koos tihendamisega.                                                   Kruus fr 0/63 mm. Pos 4, H=20 cm </t>
  </si>
  <si>
    <t>Tee kruuskatte taastamine - teekatte ehitamine koos tihendamisega.                                                       Kruus fr 0/32 mm. Pos 6, H=10 cm</t>
  </si>
  <si>
    <t>Tee asfaltkatte taastamine - killustikust teealuse ehitamine koos tihendamisega.                                   Killustik fr 32/63 mm, kiilutud fr 16/32 mm + 4/16 mm, H=20 cm</t>
  </si>
  <si>
    <t>Tabel 1. Oja uuendustööde mahtude kokkuvõte</t>
  </si>
  <si>
    <t>Oja uuendatava lõigu pikkus</t>
  </si>
  <si>
    <t>Tabel 8. Oja uuendustööde eeldatav maksumus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</si>
</sst>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_-* #,##0\ [$€-425]_-;\-* #,##0\ [$€-425]_-;_-* &quot;-&quot;??\ [$€-425]_-;_-@_-"/>
  </numFmts>
  <fonts count="28" x14ac:knownFonts="1">
    <font>
      <sz val="11"/>
      <color theme="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8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vertAlign val="subscript"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0"/>
      <name val="Arial"/>
      <family val="2"/>
      <charset val="204"/>
    </font>
    <font>
      <b/>
      <sz val="12"/>
      <color theme="3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sz val="10"/>
      <color theme="1"/>
      <name val="Aptos Narrow"/>
      <family val="2"/>
    </font>
    <font>
      <b/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1"/>
      <name val="Calibri"/>
      <family val="2"/>
      <charset val="186"/>
      <scheme val="minor"/>
    </font>
    <font>
      <b/>
      <vertAlign val="subscript"/>
      <sz val="11"/>
      <name val="Calibri"/>
      <family val="2"/>
      <charset val="204"/>
      <scheme val="minor"/>
    </font>
    <font>
      <b/>
      <vertAlign val="subscript"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vertAlign val="subscript"/>
      <sz val="11"/>
      <name val="Calibri"/>
      <family val="2"/>
      <charset val="204"/>
    </font>
    <font>
      <b/>
      <vertAlign val="superscript"/>
      <sz val="11"/>
      <name val="Calibri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BFF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477">
    <xf numFmtId="0" fontId="0" fillId="0" borderId="0" xfId="0"/>
    <xf numFmtId="0" fontId="7" fillId="0" borderId="5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0" xfId="0" applyFont="1"/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69" xfId="0" applyFont="1" applyBorder="1" applyAlignment="1">
      <alignment horizontal="center" vertical="center" wrapText="1"/>
    </xf>
    <xf numFmtId="0" fontId="2" fillId="3" borderId="12" xfId="3" applyFill="1" applyBorder="1" applyAlignment="1">
      <alignment horizontal="center" vertical="center" wrapText="1"/>
    </xf>
    <xf numFmtId="0" fontId="2" fillId="3" borderId="10" xfId="3" applyFill="1" applyBorder="1" applyAlignment="1">
      <alignment horizontal="center" vertical="center" wrapText="1"/>
    </xf>
    <xf numFmtId="0" fontId="2" fillId="3" borderId="9" xfId="3" applyFill="1" applyBorder="1" applyAlignment="1">
      <alignment horizontal="center" vertical="center" wrapText="1"/>
    </xf>
    <xf numFmtId="0" fontId="2" fillId="3" borderId="6" xfId="3" applyFill="1" applyBorder="1" applyAlignment="1">
      <alignment horizontal="center" vertical="center" wrapText="1"/>
    </xf>
    <xf numFmtId="0" fontId="2" fillId="3" borderId="34" xfId="3" applyFill="1" applyBorder="1" applyAlignment="1">
      <alignment horizontal="center" vertical="center" wrapText="1"/>
    </xf>
    <xf numFmtId="1" fontId="5" fillId="4" borderId="7" xfId="4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2" fontId="7" fillId="0" borderId="33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2" fontId="7" fillId="0" borderId="29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54" xfId="0" applyFont="1" applyBorder="1" applyAlignment="1">
      <alignment horizontal="left" vertical="center" wrapText="1"/>
    </xf>
    <xf numFmtId="0" fontId="8" fillId="0" borderId="57" xfId="0" applyFont="1" applyBorder="1" applyAlignment="1">
      <alignment horizontal="left" vertical="center" wrapText="1"/>
    </xf>
    <xf numFmtId="1" fontId="7" fillId="0" borderId="0" xfId="0" applyNumberFormat="1" applyFont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2" fontId="7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8" fillId="0" borderId="0" xfId="4" applyFont="1" applyAlignment="1">
      <alignment horizontal="center" vertical="center"/>
    </xf>
    <xf numFmtId="1" fontId="7" fillId="0" borderId="0" xfId="0" applyNumberFormat="1" applyFont="1"/>
    <xf numFmtId="0" fontId="7" fillId="0" borderId="78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68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2" fontId="7" fillId="0" borderId="32" xfId="0" applyNumberFormat="1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2" fontId="8" fillId="0" borderId="29" xfId="6" applyNumberFormat="1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7" fillId="0" borderId="54" xfId="0" applyFont="1" applyBorder="1" applyAlignment="1">
      <alignment horizontal="lef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8" fillId="0" borderId="0" xfId="6" applyNumberFormat="1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164" fontId="2" fillId="0" borderId="0" xfId="4" applyNumberFormat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/>
    </xf>
    <xf numFmtId="164" fontId="7" fillId="7" borderId="19" xfId="0" quotePrefix="1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53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1" fontId="7" fillId="7" borderId="19" xfId="0" applyNumberFormat="1" applyFont="1" applyFill="1" applyBorder="1" applyAlignment="1">
      <alignment horizontal="center" vertical="center"/>
    </xf>
    <xf numFmtId="164" fontId="7" fillId="7" borderId="1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5" borderId="7" xfId="0" applyFont="1" applyFill="1" applyBorder="1" applyAlignment="1">
      <alignment horizontal="center" vertical="center"/>
    </xf>
    <xf numFmtId="164" fontId="6" fillId="5" borderId="7" xfId="0" applyNumberFormat="1" applyFont="1" applyFill="1" applyBorder="1" applyAlignment="1">
      <alignment horizontal="center" vertical="center"/>
    </xf>
    <xf numFmtId="1" fontId="6" fillId="5" borderId="7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14" fontId="7" fillId="0" borderId="48" xfId="0" applyNumberFormat="1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 wrapText="1"/>
    </xf>
    <xf numFmtId="0" fontId="16" fillId="0" borderId="0" xfId="1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7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2" fillId="3" borderId="8" xfId="3" applyFill="1" applyBorder="1" applyAlignment="1">
      <alignment horizontal="center" vertical="center" wrapText="1"/>
    </xf>
    <xf numFmtId="1" fontId="5" fillId="4" borderId="13" xfId="4" applyNumberFormat="1" applyFont="1" applyFill="1" applyBorder="1" applyAlignment="1">
      <alignment horizontal="center" vertical="center"/>
    </xf>
    <xf numFmtId="0" fontId="2" fillId="0" borderId="74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2" fillId="3" borderId="64" xfId="3" applyFill="1" applyBorder="1" applyAlignment="1">
      <alignment horizontal="center" vertical="center" wrapText="1"/>
    </xf>
    <xf numFmtId="0" fontId="8" fillId="0" borderId="56" xfId="6" applyFont="1" applyBorder="1" applyAlignment="1">
      <alignment horizontal="center" vertical="center"/>
    </xf>
    <xf numFmtId="2" fontId="8" fillId="0" borderId="8" xfId="6" applyNumberFormat="1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2" fontId="8" fillId="0" borderId="30" xfId="6" applyNumberFormat="1" applyFont="1" applyBorder="1" applyAlignment="1">
      <alignment horizontal="center" vertical="center"/>
    </xf>
    <xf numFmtId="2" fontId="8" fillId="0" borderId="69" xfId="6" applyNumberFormat="1" applyFont="1" applyBorder="1" applyAlignment="1">
      <alignment horizontal="center" vertical="center"/>
    </xf>
    <xf numFmtId="0" fontId="8" fillId="0" borderId="60" xfId="4" applyFont="1" applyBorder="1" applyAlignment="1">
      <alignment horizontal="center" vertical="center"/>
    </xf>
    <xf numFmtId="0" fontId="8" fillId="0" borderId="80" xfId="6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8" fillId="0" borderId="27" xfId="6" applyFont="1" applyBorder="1" applyAlignment="1">
      <alignment horizontal="center" vertical="center"/>
    </xf>
    <xf numFmtId="0" fontId="8" fillId="0" borderId="68" xfId="6" applyFont="1" applyBorder="1" applyAlignment="1">
      <alignment horizontal="center" vertical="center"/>
    </xf>
    <xf numFmtId="0" fontId="8" fillId="0" borderId="12" xfId="6" applyFont="1" applyBorder="1" applyAlignment="1">
      <alignment horizontal="center" vertical="center"/>
    </xf>
    <xf numFmtId="0" fontId="8" fillId="5" borderId="26" xfId="6" applyFont="1" applyFill="1" applyBorder="1" applyAlignment="1">
      <alignment horizontal="center" vertical="center"/>
    </xf>
    <xf numFmtId="0" fontId="8" fillId="5" borderId="28" xfId="6" applyFont="1" applyFill="1" applyBorder="1" applyAlignment="1">
      <alignment horizontal="center" vertical="center"/>
    </xf>
    <xf numFmtId="0" fontId="8" fillId="5" borderId="52" xfId="4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1" fontId="7" fillId="5" borderId="27" xfId="0" applyNumberFormat="1" applyFont="1" applyFill="1" applyBorder="1" applyAlignment="1">
      <alignment horizontal="center" vertical="center"/>
    </xf>
    <xf numFmtId="0" fontId="8" fillId="5" borderId="18" xfId="4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1" fontId="7" fillId="5" borderId="68" xfId="0" applyNumberFormat="1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8" fillId="0" borderId="52" xfId="6" applyFont="1" applyBorder="1" applyAlignment="1">
      <alignment horizontal="center" vertical="center"/>
    </xf>
    <xf numFmtId="0" fontId="8" fillId="0" borderId="30" xfId="6" applyFont="1" applyBorder="1" applyAlignment="1">
      <alignment horizontal="center" vertical="center"/>
    </xf>
    <xf numFmtId="0" fontId="8" fillId="0" borderId="18" xfId="6" applyFont="1" applyBorder="1" applyAlignment="1">
      <alignment horizontal="center" vertical="center"/>
    </xf>
    <xf numFmtId="0" fontId="8" fillId="0" borderId="29" xfId="6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2" fontId="8" fillId="0" borderId="28" xfId="6" applyNumberFormat="1" applyFont="1" applyBorder="1" applyAlignment="1">
      <alignment horizontal="center" vertical="center"/>
    </xf>
    <xf numFmtId="0" fontId="8" fillId="0" borderId="68" xfId="4" applyFont="1" applyBorder="1" applyAlignment="1">
      <alignment horizontal="center" vertical="center"/>
    </xf>
    <xf numFmtId="164" fontId="8" fillId="0" borderId="29" xfId="6" applyNumberFormat="1" applyFont="1" applyBorder="1" applyAlignment="1">
      <alignment horizontal="center" vertical="center"/>
    </xf>
    <xf numFmtId="1" fontId="8" fillId="0" borderId="30" xfId="6" applyNumberFormat="1" applyFont="1" applyBorder="1" applyAlignment="1">
      <alignment horizontal="center" vertical="center"/>
    </xf>
    <xf numFmtId="1" fontId="8" fillId="0" borderId="29" xfId="6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 wrapText="1"/>
    </xf>
    <xf numFmtId="0" fontId="5" fillId="4" borderId="13" xfId="4" applyFont="1" applyFill="1" applyBorder="1" applyAlignment="1">
      <alignment vertical="center"/>
    </xf>
    <xf numFmtId="0" fontId="5" fillId="4" borderId="3" xfId="4" applyFont="1" applyFill="1" applyBorder="1" applyAlignment="1">
      <alignment vertical="center"/>
    </xf>
    <xf numFmtId="1" fontId="5" fillId="4" borderId="70" xfId="4" applyNumberFormat="1" applyFont="1" applyFill="1" applyBorder="1" applyAlignment="1">
      <alignment horizontal="center" vertical="center"/>
    </xf>
    <xf numFmtId="1" fontId="5" fillId="4" borderId="11" xfId="4" applyNumberFormat="1" applyFont="1" applyFill="1" applyBorder="1" applyAlignment="1">
      <alignment horizontal="center" vertical="center"/>
    </xf>
    <xf numFmtId="0" fontId="5" fillId="4" borderId="13" xfId="4" applyFont="1" applyFill="1" applyBorder="1" applyAlignment="1">
      <alignment horizontal="center" vertical="center"/>
    </xf>
    <xf numFmtId="1" fontId="8" fillId="0" borderId="36" xfId="6" applyNumberFormat="1" applyFont="1" applyBorder="1" applyAlignment="1">
      <alignment horizontal="center" vertical="center"/>
    </xf>
    <xf numFmtId="1" fontId="8" fillId="0" borderId="61" xfId="6" applyNumberFormat="1" applyFont="1" applyBorder="1" applyAlignment="1">
      <alignment horizontal="center" vertical="center"/>
    </xf>
    <xf numFmtId="1" fontId="8" fillId="0" borderId="27" xfId="6" applyNumberFormat="1" applyFont="1" applyBorder="1" applyAlignment="1">
      <alignment horizontal="center" vertical="center"/>
    </xf>
    <xf numFmtId="1" fontId="8" fillId="0" borderId="68" xfId="6" applyNumberFormat="1" applyFont="1" applyBorder="1" applyAlignment="1">
      <alignment horizontal="center" vertical="center"/>
    </xf>
    <xf numFmtId="1" fontId="8" fillId="0" borderId="29" xfId="6" applyNumberFormat="1" applyFont="1" applyBorder="1" applyAlignment="1">
      <alignment horizontal="center" vertical="center" wrapText="1"/>
    </xf>
    <xf numFmtId="0" fontId="5" fillId="4" borderId="7" xfId="4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center" vertical="center" wrapText="1"/>
    </xf>
    <xf numFmtId="0" fontId="7" fillId="0" borderId="79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14" fontId="7" fillId="0" borderId="7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6" fillId="0" borderId="0" xfId="1" applyFont="1" applyBorder="1" applyAlignment="1"/>
    <xf numFmtId="0" fontId="6" fillId="2" borderId="4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70" xfId="0" applyFont="1" applyFill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/>
    </xf>
    <xf numFmtId="165" fontId="7" fillId="0" borderId="0" xfId="0" applyNumberFormat="1" applyFont="1"/>
    <xf numFmtId="0" fontId="21" fillId="0" borderId="0" xfId="0" applyFon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1" fontId="2" fillId="0" borderId="52" xfId="4" applyNumberFormat="1" applyBorder="1" applyAlignment="1">
      <alignment horizontal="center" vertical="center" wrapText="1"/>
    </xf>
    <xf numFmtId="1" fontId="8" fillId="0" borderId="52" xfId="6" applyNumberFormat="1" applyFont="1" applyBorder="1" applyAlignment="1">
      <alignment horizontal="center" vertical="center"/>
    </xf>
    <xf numFmtId="1" fontId="2" fillId="0" borderId="18" xfId="4" applyNumberFormat="1" applyBorder="1" applyAlignment="1">
      <alignment horizontal="center" vertical="center" wrapText="1"/>
    </xf>
    <xf numFmtId="1" fontId="8" fillId="0" borderId="18" xfId="6" applyNumberFormat="1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2" fontId="7" fillId="0" borderId="58" xfId="0" applyNumberFormat="1" applyFont="1" applyBorder="1" applyAlignment="1">
      <alignment horizontal="center" vertical="center" wrapText="1"/>
    </xf>
    <xf numFmtId="2" fontId="7" fillId="0" borderId="54" xfId="0" applyNumberFormat="1" applyFont="1" applyBorder="1" applyAlignment="1">
      <alignment horizontal="center" vertical="center" wrapText="1"/>
    </xf>
    <xf numFmtId="2" fontId="7" fillId="0" borderId="57" xfId="0" applyNumberFormat="1" applyFont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49" fontId="6" fillId="4" borderId="47" xfId="0" applyNumberFormat="1" applyFont="1" applyFill="1" applyBorder="1" applyAlignment="1">
      <alignment horizontal="center" vertical="center" wrapText="1"/>
    </xf>
    <xf numFmtId="1" fontId="6" fillId="4" borderId="7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7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" fontId="7" fillId="0" borderId="18" xfId="0" applyNumberFormat="1" applyFont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7" fillId="0" borderId="32" xfId="0" applyNumberFormat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49" fontId="7" fillId="0" borderId="56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center" vertical="center" wrapText="1"/>
    </xf>
    <xf numFmtId="2" fontId="12" fillId="0" borderId="12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1" fontId="5" fillId="4" borderId="3" xfId="4" applyNumberFormat="1" applyFont="1" applyFill="1" applyBorder="1" applyAlignment="1">
      <alignment horizontal="center" vertical="center"/>
    </xf>
    <xf numFmtId="1" fontId="12" fillId="0" borderId="55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5" fontId="7" fillId="0" borderId="70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2" fillId="0" borderId="68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2" fillId="0" borderId="55" xfId="0" applyNumberFormat="1" applyFont="1" applyBorder="1" applyAlignment="1">
      <alignment horizontal="center" vertical="center"/>
    </xf>
    <xf numFmtId="0" fontId="8" fillId="0" borderId="5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 wrapText="1"/>
    </xf>
    <xf numFmtId="1" fontId="8" fillId="0" borderId="5" xfId="6" applyNumberFormat="1" applyFont="1" applyBorder="1" applyAlignment="1">
      <alignment horizontal="center" vertical="center"/>
    </xf>
    <xf numFmtId="1" fontId="7" fillId="0" borderId="71" xfId="0" applyNumberFormat="1" applyFont="1" applyBorder="1" applyAlignment="1">
      <alignment horizontal="center" vertical="center"/>
    </xf>
    <xf numFmtId="164" fontId="12" fillId="0" borderId="43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2" fontId="12" fillId="0" borderId="33" xfId="0" applyNumberFormat="1" applyFont="1" applyBorder="1" applyAlignment="1">
      <alignment horizontal="center" vertical="center"/>
    </xf>
    <xf numFmtId="1" fontId="12" fillId="0" borderId="33" xfId="0" applyNumberFormat="1" applyFont="1" applyBorder="1" applyAlignment="1">
      <alignment horizontal="center" vertical="center"/>
    </xf>
    <xf numFmtId="164" fontId="12" fillId="0" borderId="33" xfId="0" applyNumberFormat="1" applyFont="1" applyBorder="1" applyAlignment="1">
      <alignment horizontal="center" vertical="center"/>
    </xf>
    <xf numFmtId="1" fontId="17" fillId="5" borderId="5" xfId="0" applyNumberFormat="1" applyFont="1" applyFill="1" applyBorder="1" applyAlignment="1">
      <alignment horizontal="center" vertical="center"/>
    </xf>
    <xf numFmtId="0" fontId="17" fillId="5" borderId="54" xfId="0" applyFont="1" applyFill="1" applyBorder="1" applyAlignment="1">
      <alignment horizontal="right" vertical="center"/>
    </xf>
    <xf numFmtId="0" fontId="17" fillId="5" borderId="51" xfId="0" applyFont="1" applyFill="1" applyBorder="1" applyAlignment="1">
      <alignment vertical="center"/>
    </xf>
    <xf numFmtId="0" fontId="17" fillId="5" borderId="54" xfId="0" applyFont="1" applyFill="1" applyBorder="1" applyAlignment="1">
      <alignment vertical="center"/>
    </xf>
    <xf numFmtId="0" fontId="12" fillId="0" borderId="29" xfId="0" applyFont="1" applyBorder="1" applyAlignment="1">
      <alignment horizontal="center" vertical="center"/>
    </xf>
    <xf numFmtId="1" fontId="12" fillId="0" borderId="29" xfId="0" applyNumberFormat="1" applyFont="1" applyBorder="1" applyAlignment="1">
      <alignment horizontal="center" vertical="center"/>
    </xf>
    <xf numFmtId="0" fontId="17" fillId="5" borderId="12" xfId="0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49" fontId="6" fillId="4" borderId="72" xfId="0" applyNumberFormat="1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2" fontId="6" fillId="4" borderId="7" xfId="0" applyNumberFormat="1" applyFont="1" applyFill="1" applyBorder="1" applyAlignment="1">
      <alignment horizontal="center" vertical="center" wrapText="1"/>
    </xf>
    <xf numFmtId="2" fontId="6" fillId="4" borderId="72" xfId="0" applyNumberFormat="1" applyFont="1" applyFill="1" applyBorder="1" applyAlignment="1">
      <alignment horizontal="center" vertical="center" wrapText="1"/>
    </xf>
    <xf numFmtId="0" fontId="17" fillId="4" borderId="51" xfId="0" applyFont="1" applyFill="1" applyBorder="1" applyAlignment="1">
      <alignment horizontal="left" vertical="center"/>
    </xf>
    <xf numFmtId="0" fontId="17" fillId="4" borderId="54" xfId="0" applyFont="1" applyFill="1" applyBorder="1" applyAlignment="1">
      <alignment horizontal="left" vertical="center"/>
    </xf>
    <xf numFmtId="0" fontId="17" fillId="4" borderId="55" xfId="0" applyFont="1" applyFill="1" applyBorder="1" applyAlignment="1">
      <alignment horizontal="left" vertical="center"/>
    </xf>
    <xf numFmtId="0" fontId="17" fillId="4" borderId="61" xfId="0" applyFont="1" applyFill="1" applyBorder="1" applyAlignment="1">
      <alignment horizontal="left" vertical="center"/>
    </xf>
    <xf numFmtId="0" fontId="17" fillId="4" borderId="57" xfId="0" applyFont="1" applyFill="1" applyBorder="1" applyAlignment="1">
      <alignment horizontal="left" vertical="center"/>
    </xf>
    <xf numFmtId="0" fontId="17" fillId="4" borderId="67" xfId="0" applyFont="1" applyFill="1" applyBorder="1" applyAlignment="1">
      <alignment horizontal="left" vertical="center"/>
    </xf>
    <xf numFmtId="0" fontId="12" fillId="6" borderId="61" xfId="0" applyFont="1" applyFill="1" applyBorder="1" applyAlignment="1">
      <alignment horizontal="center" vertical="center"/>
    </xf>
    <xf numFmtId="0" fontId="12" fillId="6" borderId="57" xfId="0" applyFont="1" applyFill="1" applyBorder="1" applyAlignment="1">
      <alignment horizontal="center" vertical="center"/>
    </xf>
    <xf numFmtId="0" fontId="12" fillId="6" borderId="67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7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49" fontId="7" fillId="0" borderId="46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/>
    </xf>
    <xf numFmtId="0" fontId="6" fillId="3" borderId="20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/>
    </xf>
    <xf numFmtId="0" fontId="6" fillId="3" borderId="73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0" fontId="9" fillId="2" borderId="49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6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68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right" vertical="center"/>
    </xf>
    <xf numFmtId="0" fontId="17" fillId="4" borderId="47" xfId="0" applyFont="1" applyFill="1" applyBorder="1" applyAlignment="1">
      <alignment horizontal="right" vertical="center"/>
    </xf>
    <xf numFmtId="0" fontId="6" fillId="2" borderId="5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75" xfId="0" applyFont="1" applyFill="1" applyBorder="1" applyAlignment="1">
      <alignment horizontal="center" vertical="center" wrapText="1"/>
    </xf>
    <xf numFmtId="0" fontId="6" fillId="3" borderId="79" xfId="0" applyFont="1" applyFill="1" applyBorder="1" applyAlignment="1">
      <alignment horizontal="center" vertical="center" wrapText="1"/>
    </xf>
    <xf numFmtId="0" fontId="6" fillId="3" borderId="76" xfId="0" applyFont="1" applyFill="1" applyBorder="1" applyAlignment="1">
      <alignment horizontal="center" vertical="center" wrapText="1"/>
    </xf>
    <xf numFmtId="0" fontId="6" fillId="3" borderId="78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62" xfId="0" applyFont="1" applyFill="1" applyBorder="1" applyAlignment="1">
      <alignment horizontal="center" vertical="center" wrapText="1"/>
    </xf>
    <xf numFmtId="0" fontId="6" fillId="3" borderId="65" xfId="0" applyFont="1" applyFill="1" applyBorder="1" applyAlignment="1">
      <alignment horizontal="center" vertical="center" wrapText="1"/>
    </xf>
    <xf numFmtId="0" fontId="2" fillId="3" borderId="42" xfId="3" applyFill="1" applyBorder="1" applyAlignment="1">
      <alignment horizontal="center" vertical="center" wrapText="1"/>
    </xf>
    <xf numFmtId="0" fontId="2" fillId="3" borderId="73" xfId="3" applyFill="1" applyBorder="1" applyAlignment="1">
      <alignment horizontal="center" vertical="center" wrapText="1"/>
    </xf>
    <xf numFmtId="0" fontId="2" fillId="3" borderId="59" xfId="3" applyFill="1" applyBorder="1" applyAlignment="1">
      <alignment horizontal="center" vertical="center" wrapText="1"/>
    </xf>
    <xf numFmtId="0" fontId="2" fillId="3" borderId="36" xfId="3" applyFill="1" applyBorder="1" applyAlignment="1">
      <alignment horizontal="center" vertical="center" wrapText="1"/>
    </xf>
    <xf numFmtId="0" fontId="2" fillId="3" borderId="0" xfId="3" applyFill="1" applyAlignment="1">
      <alignment horizontal="center" vertical="center" wrapText="1"/>
    </xf>
    <xf numFmtId="0" fontId="2" fillId="3" borderId="35" xfId="3" applyFill="1" applyBorder="1" applyAlignment="1">
      <alignment horizontal="center" vertical="center" wrapText="1"/>
    </xf>
    <xf numFmtId="0" fontId="2" fillId="3" borderId="15" xfId="3" applyFill="1" applyBorder="1" applyAlignment="1">
      <alignment horizontal="center" vertical="center" wrapText="1"/>
    </xf>
    <xf numFmtId="0" fontId="2" fillId="3" borderId="74" xfId="3" applyFill="1" applyBorder="1" applyAlignment="1">
      <alignment horizontal="center" vertical="center" wrapText="1"/>
    </xf>
    <xf numFmtId="0" fontId="2" fillId="3" borderId="16" xfId="3" applyFill="1" applyBorder="1" applyAlignment="1">
      <alignment horizontal="center" vertical="center" wrapText="1"/>
    </xf>
    <xf numFmtId="0" fontId="2" fillId="3" borderId="20" xfId="3" applyFill="1" applyBorder="1" applyAlignment="1">
      <alignment horizontal="center" vertical="center" wrapText="1"/>
    </xf>
    <xf numFmtId="0" fontId="2" fillId="3" borderId="37" xfId="3" applyFill="1" applyBorder="1" applyAlignment="1">
      <alignment horizontal="center" vertical="center" wrapText="1"/>
    </xf>
    <xf numFmtId="0" fontId="2" fillId="3" borderId="38" xfId="3" applyFill="1" applyBorder="1" applyAlignment="1">
      <alignment horizontal="center" vertical="center" wrapText="1"/>
    </xf>
    <xf numFmtId="0" fontId="5" fillId="4" borderId="2" xfId="4" applyFont="1" applyFill="1" applyBorder="1" applyAlignment="1">
      <alignment horizontal="center" vertical="center"/>
    </xf>
    <xf numFmtId="0" fontId="5" fillId="4" borderId="47" xfId="4" applyFont="1" applyFill="1" applyBorder="1" applyAlignment="1">
      <alignment horizontal="center" vertical="center"/>
    </xf>
    <xf numFmtId="0" fontId="5" fillId="4" borderId="4" xfId="4" applyFont="1" applyFill="1" applyBorder="1" applyAlignment="1">
      <alignment horizontal="center" vertical="center"/>
    </xf>
    <xf numFmtId="0" fontId="2" fillId="3" borderId="24" xfId="3" applyFill="1" applyBorder="1" applyAlignment="1">
      <alignment horizontal="center" vertical="center" wrapText="1"/>
    </xf>
    <xf numFmtId="0" fontId="2" fillId="3" borderId="26" xfId="3" applyFill="1" applyBorder="1" applyAlignment="1">
      <alignment horizontal="center" vertical="center" wrapText="1"/>
    </xf>
    <xf numFmtId="0" fontId="2" fillId="3" borderId="69" xfId="3" applyFill="1" applyBorder="1" applyAlignment="1">
      <alignment horizontal="center" vertical="center" wrapText="1"/>
    </xf>
    <xf numFmtId="0" fontId="2" fillId="3" borderId="50" xfId="3" applyFill="1" applyBorder="1" applyAlignment="1">
      <alignment horizontal="center" vertical="center" wrapText="1"/>
    </xf>
    <xf numFmtId="0" fontId="2" fillId="3" borderId="52" xfId="3" applyFill="1" applyBorder="1" applyAlignment="1">
      <alignment horizontal="center" vertical="center" wrapText="1"/>
    </xf>
    <xf numFmtId="0" fontId="2" fillId="3" borderId="19" xfId="3" applyFill="1" applyBorder="1" applyAlignment="1">
      <alignment horizontal="center" vertical="center" wrapText="1"/>
    </xf>
    <xf numFmtId="0" fontId="2" fillId="3" borderId="76" xfId="3" applyFill="1" applyBorder="1" applyAlignment="1">
      <alignment horizontal="center" vertical="center" wrapText="1"/>
    </xf>
    <xf numFmtId="0" fontId="2" fillId="3" borderId="30" xfId="3" applyFill="1" applyBorder="1" applyAlignment="1">
      <alignment horizontal="center" vertical="center" wrapText="1"/>
    </xf>
    <xf numFmtId="0" fontId="2" fillId="3" borderId="78" xfId="3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0" fontId="2" fillId="3" borderId="31" xfId="1" applyFont="1" applyFill="1" applyBorder="1" applyAlignment="1">
      <alignment horizontal="center" vertical="center"/>
    </xf>
    <xf numFmtId="0" fontId="2" fillId="3" borderId="22" xfId="3" applyFill="1" applyBorder="1" applyAlignment="1">
      <alignment horizontal="center" vertical="center" wrapText="1"/>
    </xf>
    <xf numFmtId="0" fontId="2" fillId="3" borderId="17" xfId="3" applyFill="1" applyBorder="1" applyAlignment="1">
      <alignment horizontal="center" vertical="center" wrapText="1"/>
    </xf>
    <xf numFmtId="0" fontId="2" fillId="3" borderId="18" xfId="3" applyFill="1" applyBorder="1" applyAlignment="1">
      <alignment horizontal="center" vertical="center" wrapText="1"/>
    </xf>
    <xf numFmtId="0" fontId="2" fillId="3" borderId="44" xfId="3" applyFill="1" applyBorder="1" applyAlignment="1">
      <alignment horizontal="center" vertical="center" wrapText="1"/>
    </xf>
    <xf numFmtId="0" fontId="2" fillId="3" borderId="29" xfId="3" applyFill="1" applyBorder="1" applyAlignment="1">
      <alignment horizontal="center" vertical="center" wrapText="1"/>
    </xf>
    <xf numFmtId="0" fontId="2" fillId="3" borderId="77" xfId="3" applyFill="1" applyBorder="1" applyAlignment="1">
      <alignment horizontal="center" vertical="center" wrapText="1"/>
    </xf>
    <xf numFmtId="0" fontId="2" fillId="3" borderId="28" xfId="3" applyFill="1" applyBorder="1" applyAlignment="1">
      <alignment horizontal="center" vertical="center" wrapText="1"/>
    </xf>
    <xf numFmtId="0" fontId="2" fillId="3" borderId="23" xfId="3" applyFill="1" applyBorder="1" applyAlignment="1">
      <alignment horizontal="center" vertical="center" wrapText="1"/>
    </xf>
    <xf numFmtId="0" fontId="2" fillId="3" borderId="66" xfId="3" applyFill="1" applyBorder="1" applyAlignment="1">
      <alignment horizontal="center" vertical="center" wrapText="1"/>
    </xf>
    <xf numFmtId="0" fontId="2" fillId="3" borderId="49" xfId="3" applyFill="1" applyBorder="1" applyAlignment="1">
      <alignment horizontal="center" vertical="center" wrapText="1"/>
    </xf>
    <xf numFmtId="0" fontId="2" fillId="3" borderId="21" xfId="3" applyFill="1" applyBorder="1" applyAlignment="1">
      <alignment horizontal="center" vertical="center" wrapText="1"/>
    </xf>
    <xf numFmtId="0" fontId="2" fillId="3" borderId="68" xfId="3" applyFill="1" applyBorder="1" applyAlignment="1">
      <alignment horizontal="center" vertical="center" wrapText="1"/>
    </xf>
    <xf numFmtId="0" fontId="2" fillId="3" borderId="60" xfId="3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/>
    </xf>
    <xf numFmtId="0" fontId="25" fillId="3" borderId="37" xfId="0" applyFont="1" applyFill="1" applyBorder="1" applyAlignment="1">
      <alignment horizontal="center" vertical="center"/>
    </xf>
    <xf numFmtId="0" fontId="25" fillId="3" borderId="38" xfId="0" applyFont="1" applyFill="1" applyBorder="1" applyAlignment="1">
      <alignment horizontal="center" vertical="center"/>
    </xf>
    <xf numFmtId="0" fontId="2" fillId="3" borderId="56" xfId="3" applyFill="1" applyBorder="1" applyAlignment="1">
      <alignment horizontal="center" vertical="center" wrapText="1"/>
    </xf>
    <xf numFmtId="0" fontId="2" fillId="3" borderId="79" xfId="3" applyFill="1" applyBorder="1" applyAlignment="1">
      <alignment horizontal="center" vertical="center" wrapText="1"/>
    </xf>
    <xf numFmtId="0" fontId="22" fillId="3" borderId="21" xfId="0" applyFont="1" applyFill="1" applyBorder="1" applyAlignment="1">
      <alignment horizontal="center" vertical="center"/>
    </xf>
    <xf numFmtId="0" fontId="22" fillId="3" borderId="51" xfId="0" applyFont="1" applyFill="1" applyBorder="1" applyAlignment="1">
      <alignment horizontal="center" vertical="center"/>
    </xf>
    <xf numFmtId="0" fontId="22" fillId="3" borderId="61" xfId="0" applyFont="1" applyFill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/>
    </xf>
    <xf numFmtId="0" fontId="22" fillId="3" borderId="14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68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0" fontId="20" fillId="3" borderId="26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52" xfId="0" applyFont="1" applyFill="1" applyBorder="1" applyAlignment="1">
      <alignment horizontal="center" vertical="center"/>
    </xf>
    <xf numFmtId="0" fontId="20" fillId="3" borderId="44" xfId="0" applyFont="1" applyFill="1" applyBorder="1" applyAlignment="1">
      <alignment horizontal="center" vertical="center"/>
    </xf>
    <xf numFmtId="0" fontId="25" fillId="3" borderId="25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22" fillId="3" borderId="62" xfId="0" applyFont="1" applyFill="1" applyBorder="1" applyAlignment="1">
      <alignment horizontal="center" vertical="center"/>
    </xf>
    <xf numFmtId="0" fontId="22" fillId="3" borderId="49" xfId="0" applyFont="1" applyFill="1" applyBorder="1" applyAlignment="1">
      <alignment horizontal="center" vertical="center" wrapText="1"/>
    </xf>
    <xf numFmtId="0" fontId="22" fillId="3" borderId="55" xfId="0" applyFont="1" applyFill="1" applyBorder="1" applyAlignment="1">
      <alignment horizontal="center" vertical="center" wrapText="1"/>
    </xf>
    <xf numFmtId="0" fontId="22" fillId="3" borderId="67" xfId="0" applyFont="1" applyFill="1" applyBorder="1" applyAlignment="1">
      <alignment horizontal="center" vertical="center" wrapText="1"/>
    </xf>
    <xf numFmtId="0" fontId="5" fillId="4" borderId="2" xfId="4" applyFont="1" applyFill="1" applyBorder="1" applyAlignment="1">
      <alignment horizontal="right" vertical="center"/>
    </xf>
    <xf numFmtId="0" fontId="5" fillId="4" borderId="47" xfId="4" applyFont="1" applyFill="1" applyBorder="1" applyAlignment="1">
      <alignment horizontal="right" vertical="center"/>
    </xf>
    <xf numFmtId="0" fontId="17" fillId="8" borderId="51" xfId="0" applyFont="1" applyFill="1" applyBorder="1" applyAlignment="1">
      <alignment horizontal="right" vertical="center"/>
    </xf>
    <xf numFmtId="0" fontId="17" fillId="8" borderId="54" xfId="0" applyFont="1" applyFill="1" applyBorder="1" applyAlignment="1">
      <alignment horizontal="right" vertical="center"/>
    </xf>
    <xf numFmtId="0" fontId="17" fillId="8" borderId="32" xfId="0" applyFont="1" applyFill="1" applyBorder="1" applyAlignment="1">
      <alignment horizontal="right" vertical="center"/>
    </xf>
    <xf numFmtId="0" fontId="12" fillId="8" borderId="51" xfId="0" applyFont="1" applyFill="1" applyBorder="1" applyAlignment="1">
      <alignment horizontal="right" vertical="center"/>
    </xf>
    <xf numFmtId="0" fontId="12" fillId="8" borderId="54" xfId="0" applyFont="1" applyFill="1" applyBorder="1" applyAlignment="1">
      <alignment horizontal="right" vertical="center"/>
    </xf>
    <xf numFmtId="0" fontId="12" fillId="8" borderId="32" xfId="0" applyFont="1" applyFill="1" applyBorder="1" applyAlignment="1">
      <alignment horizontal="right" vertical="center"/>
    </xf>
    <xf numFmtId="0" fontId="17" fillId="8" borderId="40" xfId="0" applyFont="1" applyFill="1" applyBorder="1" applyAlignment="1">
      <alignment horizontal="right" vertical="center"/>
    </xf>
    <xf numFmtId="0" fontId="17" fillId="8" borderId="41" xfId="0" applyFont="1" applyFill="1" applyBorder="1" applyAlignment="1">
      <alignment horizontal="right" vertical="center"/>
    </xf>
    <xf numFmtId="0" fontId="17" fillId="8" borderId="64" xfId="0" applyFont="1" applyFill="1" applyBorder="1" applyAlignment="1">
      <alignment horizontal="right" vertical="center"/>
    </xf>
    <xf numFmtId="166" fontId="17" fillId="8" borderId="33" xfId="0" applyNumberFormat="1" applyFont="1" applyFill="1" applyBorder="1" applyAlignment="1">
      <alignment horizontal="center" vertical="center"/>
    </xf>
    <xf numFmtId="166" fontId="17" fillId="8" borderId="55" xfId="0" applyNumberFormat="1" applyFont="1" applyFill="1" applyBorder="1" applyAlignment="1">
      <alignment horizontal="center" vertical="center"/>
    </xf>
    <xf numFmtId="166" fontId="17" fillId="8" borderId="33" xfId="0" applyNumberFormat="1" applyFont="1" applyFill="1" applyBorder="1" applyAlignment="1">
      <alignment horizontal="right" vertical="center"/>
    </xf>
    <xf numFmtId="166" fontId="17" fillId="8" borderId="55" xfId="0" applyNumberFormat="1" applyFont="1" applyFill="1" applyBorder="1" applyAlignment="1">
      <alignment horizontal="right" vertical="center"/>
    </xf>
    <xf numFmtId="166" fontId="17" fillId="8" borderId="34" xfId="0" applyNumberFormat="1" applyFont="1" applyFill="1" applyBorder="1" applyAlignment="1">
      <alignment horizontal="right" vertical="center"/>
    </xf>
    <xf numFmtId="166" fontId="17" fillId="8" borderId="43" xfId="0" applyNumberFormat="1" applyFont="1" applyFill="1" applyBorder="1" applyAlignment="1">
      <alignment horizontal="right" vertical="center"/>
    </xf>
    <xf numFmtId="0" fontId="17" fillId="4" borderId="51" xfId="0" applyFont="1" applyFill="1" applyBorder="1" applyAlignment="1">
      <alignment horizontal="left" vertical="center" indent="3"/>
    </xf>
    <xf numFmtId="0" fontId="17" fillId="4" borderId="54" xfId="0" applyFont="1" applyFill="1" applyBorder="1" applyAlignment="1">
      <alignment horizontal="left" vertical="center" indent="3"/>
    </xf>
    <xf numFmtId="0" fontId="17" fillId="4" borderId="55" xfId="0" applyFont="1" applyFill="1" applyBorder="1" applyAlignment="1">
      <alignment horizontal="left" vertical="center" indent="3"/>
    </xf>
    <xf numFmtId="0" fontId="17" fillId="4" borderId="21" xfId="0" applyFont="1" applyFill="1" applyBorder="1" applyAlignment="1">
      <alignment horizontal="left" vertical="center" indent="3"/>
    </xf>
    <xf numFmtId="0" fontId="17" fillId="4" borderId="66" xfId="0" applyFont="1" applyFill="1" applyBorder="1" applyAlignment="1">
      <alignment horizontal="left" vertical="center" indent="3"/>
    </xf>
    <xf numFmtId="0" fontId="17" fillId="4" borderId="49" xfId="0" applyFont="1" applyFill="1" applyBorder="1" applyAlignment="1">
      <alignment horizontal="left" vertical="center" indent="3"/>
    </xf>
    <xf numFmtId="0" fontId="17" fillId="4" borderId="65" xfId="0" applyFont="1" applyFill="1" applyBorder="1" applyAlignment="1">
      <alignment horizontal="left" vertical="center" indent="3"/>
    </xf>
    <xf numFmtId="0" fontId="17" fillId="4" borderId="58" xfId="0" applyFont="1" applyFill="1" applyBorder="1" applyAlignment="1">
      <alignment horizontal="left" vertical="center" indent="3"/>
    </xf>
    <xf numFmtId="0" fontId="17" fillId="4" borderId="71" xfId="0" applyFont="1" applyFill="1" applyBorder="1" applyAlignment="1">
      <alignment horizontal="left" vertical="center" indent="3"/>
    </xf>
    <xf numFmtId="0" fontId="17" fillId="4" borderId="57" xfId="0" applyFont="1" applyFill="1" applyBorder="1" applyAlignment="1">
      <alignment horizontal="left" vertical="center" indent="3"/>
    </xf>
    <xf numFmtId="0" fontId="12" fillId="6" borderId="51" xfId="0" applyFont="1" applyFill="1" applyBorder="1" applyAlignment="1">
      <alignment horizontal="center" vertical="center"/>
    </xf>
    <xf numFmtId="0" fontId="12" fillId="6" borderId="54" xfId="0" applyFont="1" applyFill="1" applyBorder="1" applyAlignment="1">
      <alignment horizontal="center" vertical="center"/>
    </xf>
    <xf numFmtId="0" fontId="12" fillId="6" borderId="55" xfId="0" applyFont="1" applyFill="1" applyBorder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66" xfId="0" applyFont="1" applyFill="1" applyBorder="1" applyAlignment="1">
      <alignment horizontal="center" vertical="center"/>
    </xf>
    <xf numFmtId="0" fontId="7" fillId="4" borderId="63" xfId="0" applyFont="1" applyFill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</cellXfs>
  <cellStyles count="7">
    <cellStyle name="Normaallaad" xfId="0" builtinId="0"/>
    <cellStyle name="Normaallaad_Ranna vahtkonna teeOM3.4" xfId="6" xr:uid="{00000000-0005-0000-0000-000004000000}"/>
    <cellStyle name="Normal 2" xfId="2" xr:uid="{00000000-0005-0000-0000-000006000000}"/>
    <cellStyle name="Normal 2 2" xfId="5" xr:uid="{00000000-0005-0000-0000-000007000000}"/>
    <cellStyle name="Normal 3" xfId="4" xr:uid="{00000000-0005-0000-0000-000008000000}"/>
    <cellStyle name="Normal_Ahtme3" xfId="3" xr:uid="{00000000-0005-0000-0000-000009000000}"/>
    <cellStyle name="Pealkiri 2" xfId="1" builtinId="17"/>
  </cellStyles>
  <dxfs count="0"/>
  <tableStyles count="0" defaultTableStyle="TableStyleMedium2" defaultPivotStyle="PivotStyleLight16"/>
  <colors>
    <mruColors>
      <color rgb="FFFFEBFF"/>
      <color rgb="FFFFFFCC"/>
      <color rgb="FFCCFFCC"/>
      <color rgb="FFCCFFFF"/>
      <color rgb="FFCC99FF"/>
      <color rgb="FF66FFFF"/>
      <color rgb="FFCC9900"/>
      <color rgb="FF996600"/>
      <color rgb="FFFF6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1693A-DB7B-4FF7-950C-B559400B5303}">
  <dimension ref="A1:D57"/>
  <sheetViews>
    <sheetView tabSelected="1" view="pageLayout" zoomScaleNormal="100" workbookViewId="0">
      <selection activeCell="B10" sqref="B10"/>
    </sheetView>
  </sheetViews>
  <sheetFormatPr defaultColWidth="42.5703125" defaultRowHeight="12.75" x14ac:dyDescent="0.2"/>
  <cols>
    <col min="1" max="1" width="3.7109375" style="4" customWidth="1"/>
    <col min="2" max="2" width="80.28515625" style="4" customWidth="1"/>
    <col min="3" max="4" width="9.7109375" style="4" customWidth="1"/>
    <col min="5" max="5" width="11.7109375" style="4" customWidth="1"/>
    <col min="6" max="6" width="42.5703125" style="4" customWidth="1"/>
    <col min="7" max="7" width="6.140625" style="4" customWidth="1"/>
    <col min="8" max="16384" width="42.5703125" style="4"/>
  </cols>
  <sheetData>
    <row r="1" spans="1:4" ht="16.5" thickBot="1" x14ac:dyDescent="0.3">
      <c r="A1" s="177" t="s">
        <v>312</v>
      </c>
    </row>
    <row r="2" spans="1:4" ht="26.25" thickBot="1" x14ac:dyDescent="0.25">
      <c r="A2" s="183" t="s">
        <v>46</v>
      </c>
      <c r="B2" s="184" t="s">
        <v>188</v>
      </c>
      <c r="C2" s="184" t="s">
        <v>0</v>
      </c>
      <c r="D2" s="185" t="s">
        <v>189</v>
      </c>
    </row>
    <row r="3" spans="1:4" ht="15" customHeight="1" x14ac:dyDescent="0.2">
      <c r="A3" s="182">
        <v>1</v>
      </c>
      <c r="B3" s="97" t="s">
        <v>313</v>
      </c>
      <c r="C3" s="97" t="s">
        <v>2</v>
      </c>
      <c r="D3" s="175">
        <v>0.74</v>
      </c>
    </row>
    <row r="4" spans="1:4" ht="15" customHeight="1" x14ac:dyDescent="0.2">
      <c r="A4" s="288" t="s">
        <v>190</v>
      </c>
      <c r="B4" s="289"/>
      <c r="C4" s="289"/>
      <c r="D4" s="290"/>
    </row>
    <row r="5" spans="1:4" ht="15" customHeight="1" x14ac:dyDescent="0.2">
      <c r="A5" s="179">
        <v>2</v>
      </c>
      <c r="B5" s="110" t="s">
        <v>72</v>
      </c>
      <c r="C5" s="161" t="s">
        <v>1</v>
      </c>
      <c r="D5" s="234">
        <f>'Tab. 5-Ettevalmistus'!G11</f>
        <v>0.33765000000000001</v>
      </c>
    </row>
    <row r="6" spans="1:4" ht="15" customHeight="1" x14ac:dyDescent="0.2">
      <c r="A6" s="179">
        <v>3</v>
      </c>
      <c r="B6" s="110" t="s">
        <v>73</v>
      </c>
      <c r="C6" s="161" t="s">
        <v>1</v>
      </c>
      <c r="D6" s="234">
        <f>D5</f>
        <v>0.33765000000000001</v>
      </c>
    </row>
    <row r="7" spans="1:4" ht="15" customHeight="1" x14ac:dyDescent="0.2">
      <c r="A7" s="179">
        <v>4</v>
      </c>
      <c r="B7" s="110" t="s">
        <v>62</v>
      </c>
      <c r="C7" s="161" t="s">
        <v>1</v>
      </c>
      <c r="D7" s="234">
        <f>'Tab. 5-Ettevalmistus'!H11</f>
        <v>2.2350000000000002E-2</v>
      </c>
    </row>
    <row r="8" spans="1:4" ht="15" customHeight="1" x14ac:dyDescent="0.2">
      <c r="A8" s="179">
        <v>5</v>
      </c>
      <c r="B8" s="110" t="s">
        <v>63</v>
      </c>
      <c r="C8" s="161" t="s">
        <v>1</v>
      </c>
      <c r="D8" s="234">
        <f>D7</f>
        <v>2.2350000000000002E-2</v>
      </c>
    </row>
    <row r="9" spans="1:4" ht="15" customHeight="1" x14ac:dyDescent="0.2">
      <c r="A9" s="179">
        <v>6</v>
      </c>
      <c r="B9" s="110" t="s">
        <v>36</v>
      </c>
      <c r="C9" s="161" t="s">
        <v>1</v>
      </c>
      <c r="D9" s="234">
        <f>'Tab. 5-Ettevalmistus'!I11</f>
        <v>5.9040000000000002E-2</v>
      </c>
    </row>
    <row r="10" spans="1:4" ht="15" customHeight="1" x14ac:dyDescent="0.2">
      <c r="A10" s="179">
        <v>7</v>
      </c>
      <c r="B10" s="110" t="s">
        <v>66</v>
      </c>
      <c r="C10" s="161" t="s">
        <v>1</v>
      </c>
      <c r="D10" s="234">
        <f>D9</f>
        <v>5.9040000000000002E-2</v>
      </c>
    </row>
    <row r="11" spans="1:4" ht="15" customHeight="1" x14ac:dyDescent="0.2">
      <c r="A11" s="179">
        <v>8</v>
      </c>
      <c r="B11" s="110" t="s">
        <v>64</v>
      </c>
      <c r="C11" s="161" t="s">
        <v>1</v>
      </c>
      <c r="D11" s="234">
        <f>'Tab. 5-Ettevalmistus'!J11</f>
        <v>0.31096999999999997</v>
      </c>
    </row>
    <row r="12" spans="1:4" ht="15" customHeight="1" x14ac:dyDescent="0.2">
      <c r="A12" s="179">
        <v>9</v>
      </c>
      <c r="B12" s="110" t="s">
        <v>67</v>
      </c>
      <c r="C12" s="161" t="s">
        <v>1</v>
      </c>
      <c r="D12" s="234">
        <f>D11</f>
        <v>0.31096999999999997</v>
      </c>
    </row>
    <row r="13" spans="1:4" ht="15" customHeight="1" x14ac:dyDescent="0.2">
      <c r="A13" s="179">
        <v>10</v>
      </c>
      <c r="B13" s="43" t="s">
        <v>248</v>
      </c>
      <c r="C13" s="161" t="s">
        <v>1</v>
      </c>
      <c r="D13" s="234">
        <f>'Tab. 5-Ettevalmistus'!L11</f>
        <v>0.98001000000000005</v>
      </c>
    </row>
    <row r="14" spans="1:4" ht="15" customHeight="1" x14ac:dyDescent="0.2">
      <c r="A14" s="288" t="s">
        <v>191</v>
      </c>
      <c r="B14" s="289"/>
      <c r="C14" s="289"/>
      <c r="D14" s="290"/>
    </row>
    <row r="15" spans="1:4" ht="15" customHeight="1" x14ac:dyDescent="0.2">
      <c r="A15" s="172">
        <v>11</v>
      </c>
      <c r="B15" s="220" t="s">
        <v>250</v>
      </c>
      <c r="C15" s="223" t="s">
        <v>57</v>
      </c>
      <c r="D15" s="235">
        <f>'Tab. 6-Voolusäng'!F25</f>
        <v>1355.2450000000001</v>
      </c>
    </row>
    <row r="16" spans="1:4" ht="15" customHeight="1" x14ac:dyDescent="0.2">
      <c r="A16" s="172">
        <v>12</v>
      </c>
      <c r="B16" s="220" t="s">
        <v>257</v>
      </c>
      <c r="C16" s="223" t="s">
        <v>57</v>
      </c>
      <c r="D16" s="235">
        <f>'Tab. 6-Voolusäng'!G25</f>
        <v>22.400000000000002</v>
      </c>
    </row>
    <row r="17" spans="1:4" ht="15" customHeight="1" x14ac:dyDescent="0.2">
      <c r="A17" s="172">
        <v>13</v>
      </c>
      <c r="B17" s="220" t="s">
        <v>249</v>
      </c>
      <c r="C17" s="223" t="s">
        <v>57</v>
      </c>
      <c r="D17" s="235">
        <f>'Tab. 6-Voolusäng'!H25</f>
        <v>200.35500000000002</v>
      </c>
    </row>
    <row r="18" spans="1:4" ht="15" customHeight="1" x14ac:dyDescent="0.2">
      <c r="A18" s="172">
        <v>14</v>
      </c>
      <c r="B18" s="221" t="s">
        <v>88</v>
      </c>
      <c r="C18" s="223" t="s">
        <v>57</v>
      </c>
      <c r="D18" s="235">
        <f>'Tab. 6-Voolusäng'!J25</f>
        <v>933.3599999999999</v>
      </c>
    </row>
    <row r="19" spans="1:4" ht="15" customHeight="1" x14ac:dyDescent="0.2">
      <c r="A19" s="172">
        <v>15</v>
      </c>
      <c r="B19" s="222" t="s">
        <v>68</v>
      </c>
      <c r="C19" s="57" t="s">
        <v>57</v>
      </c>
      <c r="D19" s="235">
        <f>SUM(D15:D16)*0.1</f>
        <v>137.76450000000003</v>
      </c>
    </row>
    <row r="20" spans="1:4" ht="15" customHeight="1" x14ac:dyDescent="0.2">
      <c r="A20" s="172">
        <v>16</v>
      </c>
      <c r="B20" s="221" t="s">
        <v>251</v>
      </c>
      <c r="C20" s="57" t="s">
        <v>57</v>
      </c>
      <c r="D20" s="235">
        <f>D16</f>
        <v>22.400000000000002</v>
      </c>
    </row>
    <row r="21" spans="1:4" ht="15" customHeight="1" x14ac:dyDescent="0.2">
      <c r="A21" s="172">
        <v>17</v>
      </c>
      <c r="B21" s="221" t="s">
        <v>296</v>
      </c>
      <c r="C21" s="57" t="s">
        <v>7</v>
      </c>
      <c r="D21" s="235">
        <f>'Tab. 6-Voolusäng'!N25</f>
        <v>20</v>
      </c>
    </row>
    <row r="22" spans="1:4" ht="15" customHeight="1" x14ac:dyDescent="0.2">
      <c r="A22" s="179">
        <v>18</v>
      </c>
      <c r="B22" s="271" t="s">
        <v>297</v>
      </c>
      <c r="C22" s="111" t="s">
        <v>3</v>
      </c>
      <c r="D22" s="235">
        <f>'Tab. 6-Voolusäng'!L25</f>
        <v>2</v>
      </c>
    </row>
    <row r="23" spans="1:4" ht="15" customHeight="1" x14ac:dyDescent="0.2">
      <c r="A23" s="291" t="s">
        <v>303</v>
      </c>
      <c r="B23" s="292"/>
      <c r="C23" s="292"/>
      <c r="D23" s="293"/>
    </row>
    <row r="24" spans="1:4" ht="15" customHeight="1" x14ac:dyDescent="0.2">
      <c r="A24" s="179">
        <v>19</v>
      </c>
      <c r="B24" s="42" t="s">
        <v>69</v>
      </c>
      <c r="C24" s="225" t="s">
        <v>3</v>
      </c>
      <c r="D24" s="180">
        <v>3</v>
      </c>
    </row>
    <row r="25" spans="1:4" ht="15" customHeight="1" x14ac:dyDescent="0.2">
      <c r="A25" s="179">
        <v>20</v>
      </c>
      <c r="B25" s="42" t="s">
        <v>252</v>
      </c>
      <c r="C25" s="225" t="s">
        <v>7</v>
      </c>
      <c r="D25" s="235">
        <f>'Tab. 7-Truubid'!T9</f>
        <v>9</v>
      </c>
    </row>
    <row r="26" spans="1:4" ht="15" customHeight="1" x14ac:dyDescent="0.2">
      <c r="A26" s="179">
        <v>21</v>
      </c>
      <c r="B26" s="42" t="s">
        <v>103</v>
      </c>
      <c r="C26" s="225" t="s">
        <v>7</v>
      </c>
      <c r="D26" s="180">
        <f>SUM('Tab. 7-Truubid'!T10:T11)</f>
        <v>18</v>
      </c>
    </row>
    <row r="27" spans="1:4" ht="15" customHeight="1" x14ac:dyDescent="0.2">
      <c r="A27" s="179">
        <v>22</v>
      </c>
      <c r="B27" s="42" t="s">
        <v>253</v>
      </c>
      <c r="C27" s="225" t="s">
        <v>38</v>
      </c>
      <c r="D27" s="235">
        <f>'Tab. 7-Truubid'!K9</f>
        <v>1</v>
      </c>
    </row>
    <row r="28" spans="1:4" ht="15" customHeight="1" x14ac:dyDescent="0.2">
      <c r="A28" s="179">
        <v>23</v>
      </c>
      <c r="B28" s="42" t="s">
        <v>104</v>
      </c>
      <c r="C28" s="225" t="s">
        <v>38</v>
      </c>
      <c r="D28" s="235">
        <f>SUM('Tab. 7-Truubid'!K10:K11)</f>
        <v>2</v>
      </c>
    </row>
    <row r="29" spans="1:4" ht="15" customHeight="1" x14ac:dyDescent="0.2">
      <c r="A29" s="179">
        <v>24</v>
      </c>
      <c r="B29" s="110" t="s">
        <v>260</v>
      </c>
      <c r="C29" s="239" t="s">
        <v>7</v>
      </c>
      <c r="D29" s="235">
        <f>2*6</f>
        <v>12</v>
      </c>
    </row>
    <row r="30" spans="1:4" ht="15" customHeight="1" x14ac:dyDescent="0.2">
      <c r="A30" s="179">
        <v>25</v>
      </c>
      <c r="B30" s="271" t="s">
        <v>258</v>
      </c>
      <c r="C30" s="225" t="s">
        <v>7</v>
      </c>
      <c r="D30" s="235">
        <f>2*9+2*10</f>
        <v>38</v>
      </c>
    </row>
    <row r="31" spans="1:4" ht="15" customHeight="1" x14ac:dyDescent="0.2">
      <c r="A31" s="179">
        <v>26</v>
      </c>
      <c r="B31" s="110" t="s">
        <v>259</v>
      </c>
      <c r="C31" s="225" t="s">
        <v>7</v>
      </c>
      <c r="D31" s="236">
        <f>'Tab. 7-Truubid'!E10</f>
        <v>3.5</v>
      </c>
    </row>
    <row r="32" spans="1:4" ht="15" customHeight="1" x14ac:dyDescent="0.2">
      <c r="A32" s="179">
        <v>27</v>
      </c>
      <c r="B32" s="240" t="s">
        <v>261</v>
      </c>
      <c r="C32" s="111" t="s">
        <v>57</v>
      </c>
      <c r="D32" s="235">
        <f>Truubid_ABI!G10</f>
        <v>90</v>
      </c>
    </row>
    <row r="33" spans="1:4" ht="15" customHeight="1" x14ac:dyDescent="0.2">
      <c r="A33" s="179">
        <v>28</v>
      </c>
      <c r="B33" s="64" t="s">
        <v>293</v>
      </c>
      <c r="C33" s="111" t="s">
        <v>57</v>
      </c>
      <c r="D33" s="235">
        <f>Truubid_ABI!G11</f>
        <v>249.12</v>
      </c>
    </row>
    <row r="34" spans="1:4" ht="15" customHeight="1" x14ac:dyDescent="0.2">
      <c r="A34" s="294" t="s">
        <v>298</v>
      </c>
      <c r="B34" s="295"/>
      <c r="C34" s="295"/>
      <c r="D34" s="296"/>
    </row>
    <row r="35" spans="1:4" ht="15" customHeight="1" x14ac:dyDescent="0.2">
      <c r="A35" s="179">
        <v>29</v>
      </c>
      <c r="B35" s="265" t="s">
        <v>300</v>
      </c>
      <c r="C35" s="111" t="s">
        <v>291</v>
      </c>
      <c r="D35" s="235">
        <f>Truubid_ABI!D12</f>
        <v>90</v>
      </c>
    </row>
    <row r="36" spans="1:4" ht="25.5" x14ac:dyDescent="0.2">
      <c r="A36" s="179">
        <v>30</v>
      </c>
      <c r="B36" s="265" t="s">
        <v>309</v>
      </c>
      <c r="C36" s="111" t="s">
        <v>291</v>
      </c>
      <c r="D36" s="235">
        <v>90</v>
      </c>
    </row>
    <row r="37" spans="1:4" ht="25.5" x14ac:dyDescent="0.2">
      <c r="A37" s="179">
        <v>31</v>
      </c>
      <c r="B37" s="265" t="s">
        <v>310</v>
      </c>
      <c r="C37" s="111" t="s">
        <v>291</v>
      </c>
      <c r="D37" s="235">
        <v>66</v>
      </c>
    </row>
    <row r="38" spans="1:4" ht="15" customHeight="1" x14ac:dyDescent="0.2">
      <c r="A38" s="179">
        <v>32</v>
      </c>
      <c r="B38" s="265" t="s">
        <v>301</v>
      </c>
      <c r="C38" s="111" t="s">
        <v>291</v>
      </c>
      <c r="D38" s="235">
        <f>Truubid_ABI!E12</f>
        <v>70</v>
      </c>
    </row>
    <row r="39" spans="1:4" ht="25.5" x14ac:dyDescent="0.2">
      <c r="A39" s="179">
        <v>33</v>
      </c>
      <c r="B39" s="265" t="s">
        <v>311</v>
      </c>
      <c r="C39" s="111" t="s">
        <v>291</v>
      </c>
      <c r="D39" s="235">
        <v>65</v>
      </c>
    </row>
    <row r="40" spans="1:4" ht="25.5" x14ac:dyDescent="0.2">
      <c r="A40" s="179">
        <v>34</v>
      </c>
      <c r="B40" s="265" t="s">
        <v>292</v>
      </c>
      <c r="C40" s="111" t="s">
        <v>291</v>
      </c>
      <c r="D40" s="235">
        <v>46</v>
      </c>
    </row>
    <row r="41" spans="1:4" ht="15" customHeight="1" x14ac:dyDescent="0.2">
      <c r="A41" s="294" t="s">
        <v>299</v>
      </c>
      <c r="B41" s="295"/>
      <c r="C41" s="295"/>
      <c r="D41" s="296"/>
    </row>
    <row r="42" spans="1:4" ht="15" customHeight="1" x14ac:dyDescent="0.2">
      <c r="A42" s="179">
        <v>35</v>
      </c>
      <c r="B42" s="255" t="s">
        <v>273</v>
      </c>
      <c r="C42" s="225" t="s">
        <v>8</v>
      </c>
      <c r="D42" s="235">
        <v>1</v>
      </c>
    </row>
    <row r="43" spans="1:4" ht="15" customHeight="1" x14ac:dyDescent="0.2">
      <c r="A43" s="179">
        <v>36</v>
      </c>
      <c r="B43" s="255" t="s">
        <v>274</v>
      </c>
      <c r="C43" s="225" t="s">
        <v>3</v>
      </c>
      <c r="D43" s="235">
        <v>1</v>
      </c>
    </row>
    <row r="44" spans="1:4" ht="15" customHeight="1" x14ac:dyDescent="0.2">
      <c r="A44" s="179">
        <v>37</v>
      </c>
      <c r="B44" s="110" t="s">
        <v>295</v>
      </c>
      <c r="C44" s="225" t="s">
        <v>8</v>
      </c>
      <c r="D44" s="235">
        <v>1</v>
      </c>
    </row>
    <row r="45" spans="1:4" ht="15" customHeight="1" x14ac:dyDescent="0.2">
      <c r="A45" s="179">
        <v>38</v>
      </c>
      <c r="B45" s="110" t="s">
        <v>294</v>
      </c>
      <c r="C45" s="225" t="s">
        <v>8</v>
      </c>
      <c r="D45" s="235">
        <v>1</v>
      </c>
    </row>
    <row r="46" spans="1:4" ht="15" customHeight="1" x14ac:dyDescent="0.2">
      <c r="A46" s="288" t="s">
        <v>193</v>
      </c>
      <c r="B46" s="289"/>
      <c r="C46" s="289"/>
      <c r="D46" s="290"/>
    </row>
    <row r="47" spans="1:4" ht="15" customHeight="1" thickBot="1" x14ac:dyDescent="0.25">
      <c r="A47" s="181">
        <v>39</v>
      </c>
      <c r="B47" s="109" t="s">
        <v>90</v>
      </c>
      <c r="C47" s="253" t="s">
        <v>3</v>
      </c>
      <c r="D47" s="252">
        <v>1</v>
      </c>
    </row>
    <row r="48" spans="1: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</sheetData>
  <mergeCells count="6">
    <mergeCell ref="A4:D4"/>
    <mergeCell ref="A14:D14"/>
    <mergeCell ref="A23:D23"/>
    <mergeCell ref="A46:D46"/>
    <mergeCell ref="A34:D34"/>
    <mergeCell ref="A41:D41"/>
  </mergeCells>
  <phoneticPr fontId="4" type="noConversion"/>
  <pageMargins left="1.1811023622047245" right="0.98425196850393704" top="0.98425196850393704" bottom="0.98425196850393704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5A34E-4FDE-44F2-BE20-B8D8345F8BE6}">
  <dimension ref="A1:F41"/>
  <sheetViews>
    <sheetView view="pageLayout" zoomScaleNormal="100" workbookViewId="0">
      <selection activeCell="B42" sqref="B42"/>
    </sheetView>
  </sheetViews>
  <sheetFormatPr defaultColWidth="42.5703125" defaultRowHeight="12.75" x14ac:dyDescent="0.2"/>
  <cols>
    <col min="1" max="1" width="3.7109375" style="4" customWidth="1"/>
    <col min="2" max="2" width="50.7109375" style="4" customWidth="1"/>
    <col min="3" max="4" width="9.7109375" style="4" customWidth="1"/>
    <col min="5" max="5" width="11.7109375" style="4" customWidth="1"/>
    <col min="6" max="6" width="42.5703125" style="4" customWidth="1"/>
    <col min="7" max="7" width="6.140625" style="4" customWidth="1"/>
    <col min="8" max="16384" width="42.5703125" style="4"/>
  </cols>
  <sheetData>
    <row r="1" spans="1:4" ht="16.5" thickBot="1" x14ac:dyDescent="0.3">
      <c r="A1" s="177" t="s">
        <v>194</v>
      </c>
    </row>
    <row r="2" spans="1:4" ht="26.25" thickBot="1" x14ac:dyDescent="0.25">
      <c r="A2" s="183" t="s">
        <v>46</v>
      </c>
      <c r="B2" s="184" t="s">
        <v>35</v>
      </c>
      <c r="C2" s="184" t="s">
        <v>0</v>
      </c>
      <c r="D2" s="185" t="s">
        <v>9</v>
      </c>
    </row>
    <row r="3" spans="1:4" ht="15" customHeight="1" thickBot="1" x14ac:dyDescent="0.25">
      <c r="A3" s="300" t="s">
        <v>58</v>
      </c>
      <c r="B3" s="301"/>
      <c r="C3" s="301"/>
      <c r="D3" s="302"/>
    </row>
    <row r="4" spans="1:4" ht="15" customHeight="1" x14ac:dyDescent="0.2">
      <c r="A4" s="182">
        <v>1</v>
      </c>
      <c r="B4" s="52" t="s">
        <v>275</v>
      </c>
      <c r="C4" s="256" t="s">
        <v>7</v>
      </c>
      <c r="D4" s="257">
        <f>2*'Tab. 1-Mahtude kokkuvõte'!D25</f>
        <v>18</v>
      </c>
    </row>
    <row r="5" spans="1:4" ht="15" customHeight="1" x14ac:dyDescent="0.2">
      <c r="A5" s="179">
        <v>2</v>
      </c>
      <c r="B5" s="52" t="s">
        <v>276</v>
      </c>
      <c r="C5" s="225" t="s">
        <v>7</v>
      </c>
      <c r="D5" s="251">
        <f>'Tab. 1-Mahtude kokkuvõte'!D26</f>
        <v>18</v>
      </c>
    </row>
    <row r="6" spans="1:4" ht="15" customHeight="1" x14ac:dyDescent="0.2">
      <c r="A6" s="179">
        <v>3</v>
      </c>
      <c r="B6" s="92" t="s">
        <v>32</v>
      </c>
      <c r="C6" s="225" t="s">
        <v>56</v>
      </c>
      <c r="D6" s="251">
        <f>ROUNDUP(Truubid_ABI!E7,0)</f>
        <v>29</v>
      </c>
    </row>
    <row r="7" spans="1:4" ht="15" customHeight="1" x14ac:dyDescent="0.2">
      <c r="A7" s="179">
        <v>4</v>
      </c>
      <c r="B7" s="92" t="s">
        <v>52</v>
      </c>
      <c r="C7" s="225" t="s">
        <v>55</v>
      </c>
      <c r="D7" s="238">
        <f>ROUNDUP(Truubid_ABI!G7,0)</f>
        <v>154</v>
      </c>
    </row>
    <row r="8" spans="1:4" ht="15" customHeight="1" x14ac:dyDescent="0.2">
      <c r="A8" s="179">
        <v>5</v>
      </c>
      <c r="B8" s="92" t="s">
        <v>31</v>
      </c>
      <c r="C8" s="225" t="s">
        <v>56</v>
      </c>
      <c r="D8" s="251">
        <f>ROUNDUP(Truubid_ABI!I7,0)</f>
        <v>3</v>
      </c>
    </row>
    <row r="9" spans="1:4" ht="15" customHeight="1" x14ac:dyDescent="0.2">
      <c r="A9" s="179">
        <v>6</v>
      </c>
      <c r="B9" s="92" t="s">
        <v>86</v>
      </c>
      <c r="C9" s="225" t="s">
        <v>55</v>
      </c>
      <c r="D9" s="238">
        <f>ROUNDUP(Truubid_ABI!K7,0)</f>
        <v>65</v>
      </c>
    </row>
    <row r="10" spans="1:4" ht="15" customHeight="1" x14ac:dyDescent="0.2">
      <c r="A10" s="179">
        <v>7</v>
      </c>
      <c r="B10" s="92" t="s">
        <v>53</v>
      </c>
      <c r="C10" s="225" t="s">
        <v>10</v>
      </c>
      <c r="D10" s="251">
        <f>ROUNDUP(Truubid_ABI!M7,0)</f>
        <v>2</v>
      </c>
    </row>
    <row r="11" spans="1:4" ht="15" customHeight="1" thickBot="1" x14ac:dyDescent="0.25">
      <c r="A11" s="181">
        <v>8</v>
      </c>
      <c r="B11" s="187" t="s">
        <v>11</v>
      </c>
      <c r="C11" s="253" t="s">
        <v>3</v>
      </c>
      <c r="D11" s="252">
        <f>Truubid_ABI!O7</f>
        <v>324</v>
      </c>
    </row>
    <row r="12" spans="1:4" ht="15" customHeight="1" thickBot="1" x14ac:dyDescent="0.25">
      <c r="A12" s="300" t="s">
        <v>279</v>
      </c>
      <c r="B12" s="301"/>
      <c r="C12" s="301"/>
      <c r="D12" s="302"/>
    </row>
    <row r="13" spans="1:4" ht="15" customHeight="1" thickBot="1" x14ac:dyDescent="0.25">
      <c r="A13" s="182">
        <v>9</v>
      </c>
      <c r="B13" s="52" t="s">
        <v>280</v>
      </c>
      <c r="C13" s="225" t="s">
        <v>56</v>
      </c>
      <c r="D13" s="257">
        <f>6*'Tab. 6-Voolusäng'!N6*0.1</f>
        <v>12</v>
      </c>
    </row>
    <row r="14" spans="1:4" ht="15" customHeight="1" thickBot="1" x14ac:dyDescent="0.25">
      <c r="A14" s="300" t="s">
        <v>281</v>
      </c>
      <c r="B14" s="301"/>
      <c r="C14" s="301"/>
      <c r="D14" s="302"/>
    </row>
    <row r="15" spans="1:4" ht="15" customHeight="1" x14ac:dyDescent="0.2">
      <c r="A15" s="182">
        <v>10</v>
      </c>
      <c r="B15" s="52" t="s">
        <v>282</v>
      </c>
      <c r="C15" s="224" t="s">
        <v>7</v>
      </c>
      <c r="D15" s="257">
        <v>15</v>
      </c>
    </row>
    <row r="16" spans="1:4" ht="15" customHeight="1" x14ac:dyDescent="0.2">
      <c r="A16" s="182">
        <v>11</v>
      </c>
      <c r="B16" s="52" t="s">
        <v>285</v>
      </c>
      <c r="C16" s="258" t="s">
        <v>3</v>
      </c>
      <c r="D16" s="257">
        <v>1</v>
      </c>
    </row>
    <row r="17" spans="1:4" ht="15" customHeight="1" x14ac:dyDescent="0.2">
      <c r="A17" s="182">
        <v>12</v>
      </c>
      <c r="B17" s="52" t="s">
        <v>286</v>
      </c>
      <c r="C17" s="258" t="s">
        <v>7</v>
      </c>
      <c r="D17" s="257">
        <v>7</v>
      </c>
    </row>
    <row r="18" spans="1:4" ht="15" customHeight="1" x14ac:dyDescent="0.2">
      <c r="A18" s="182">
        <v>13</v>
      </c>
      <c r="B18" s="52" t="s">
        <v>283</v>
      </c>
      <c r="C18" s="258" t="s">
        <v>7</v>
      </c>
      <c r="D18" s="257">
        <v>6</v>
      </c>
    </row>
    <row r="19" spans="1:4" ht="15" customHeight="1" thickBot="1" x14ac:dyDescent="0.25">
      <c r="A19" s="182">
        <v>14</v>
      </c>
      <c r="B19" s="52" t="s">
        <v>284</v>
      </c>
      <c r="C19" s="258" t="s">
        <v>7</v>
      </c>
      <c r="D19" s="257">
        <f>2*6</f>
        <v>12</v>
      </c>
    </row>
    <row r="20" spans="1:4" ht="15" customHeight="1" thickBot="1" x14ac:dyDescent="0.25">
      <c r="A20" s="300" t="s">
        <v>91</v>
      </c>
      <c r="B20" s="301"/>
      <c r="C20" s="301"/>
      <c r="D20" s="302"/>
    </row>
    <row r="21" spans="1:4" ht="15" customHeight="1" x14ac:dyDescent="0.2">
      <c r="A21" s="182">
        <v>15</v>
      </c>
      <c r="B21" s="52" t="s">
        <v>92</v>
      </c>
      <c r="C21" s="224" t="s">
        <v>55</v>
      </c>
      <c r="D21" s="257">
        <f>'Tab. 1-Mahtude kokkuvõte'!D47*8</f>
        <v>8</v>
      </c>
    </row>
    <row r="22" spans="1:4" ht="15" customHeight="1" x14ac:dyDescent="0.2">
      <c r="A22" s="182">
        <v>16</v>
      </c>
      <c r="B22" s="52" t="s">
        <v>93</v>
      </c>
      <c r="C22" s="225" t="s">
        <v>56</v>
      </c>
      <c r="D22" s="257">
        <f>'Tab. 1-Mahtude kokkuvõte'!D47*2</f>
        <v>2</v>
      </c>
    </row>
    <row r="23" spans="1:4" ht="15" customHeight="1" x14ac:dyDescent="0.2">
      <c r="A23" s="182">
        <v>17</v>
      </c>
      <c r="B23" s="52" t="s">
        <v>94</v>
      </c>
      <c r="C23" s="225" t="s">
        <v>3</v>
      </c>
      <c r="D23" s="257">
        <f>'Tab. 1-Mahtude kokkuvõte'!D47*12</f>
        <v>12</v>
      </c>
    </row>
    <row r="24" spans="1:4" ht="15" customHeight="1" thickBot="1" x14ac:dyDescent="0.25">
      <c r="A24" s="182">
        <v>18</v>
      </c>
      <c r="B24" s="52" t="s">
        <v>95</v>
      </c>
      <c r="C24" s="225" t="s">
        <v>6</v>
      </c>
      <c r="D24" s="257">
        <f>'Tab. 1-Mahtude kokkuvõte'!D47*0.12</f>
        <v>0.12</v>
      </c>
    </row>
    <row r="25" spans="1:4" ht="15" customHeight="1" thickBot="1" x14ac:dyDescent="0.25">
      <c r="A25" s="300" t="s">
        <v>277</v>
      </c>
      <c r="B25" s="301"/>
      <c r="C25" s="301"/>
      <c r="D25" s="302"/>
    </row>
    <row r="26" spans="1:4" ht="15" customHeight="1" x14ac:dyDescent="0.2">
      <c r="A26" s="182">
        <v>19</v>
      </c>
      <c r="B26" s="75" t="s">
        <v>75</v>
      </c>
      <c r="C26" s="259" t="s">
        <v>56</v>
      </c>
      <c r="D26" s="267">
        <f>'Tab. 1-Mahtude kokkuvõte'!D33</f>
        <v>249.12</v>
      </c>
    </row>
    <row r="27" spans="1:4" ht="25.5" x14ac:dyDescent="0.2">
      <c r="A27" s="179">
        <v>20</v>
      </c>
      <c r="B27" s="76" t="s">
        <v>80</v>
      </c>
      <c r="C27" s="225" t="s">
        <v>55</v>
      </c>
      <c r="D27" s="238">
        <f>SUM('Tab. 1-Mahtude kokkuvõte'!D35,'Tab. 1-Mahtude kokkuvõte'!D38)</f>
        <v>160</v>
      </c>
    </row>
    <row r="28" spans="1:4" ht="15" customHeight="1" x14ac:dyDescent="0.2">
      <c r="A28" s="179">
        <v>21</v>
      </c>
      <c r="B28" s="76" t="s">
        <v>81</v>
      </c>
      <c r="C28" s="225" t="s">
        <v>56</v>
      </c>
      <c r="D28" s="254">
        <f>Truubid_ABI!G13</f>
        <v>13</v>
      </c>
    </row>
    <row r="29" spans="1:4" ht="15" customHeight="1" x14ac:dyDescent="0.2">
      <c r="A29" s="179">
        <v>22</v>
      </c>
      <c r="B29" s="76" t="s">
        <v>82</v>
      </c>
      <c r="C29" s="225" t="s">
        <v>56</v>
      </c>
      <c r="D29" s="254">
        <f>Truubid_ABI!G14</f>
        <v>1.2638888888888888</v>
      </c>
    </row>
    <row r="30" spans="1:4" ht="15" customHeight="1" x14ac:dyDescent="0.2">
      <c r="A30" s="179">
        <v>23</v>
      </c>
      <c r="B30" s="76" t="s">
        <v>83</v>
      </c>
      <c r="C30" s="225" t="s">
        <v>56</v>
      </c>
      <c r="D30" s="254">
        <f>Truubid_ABI!G15</f>
        <v>0.54166666666666663</v>
      </c>
    </row>
    <row r="31" spans="1:4" ht="15" customHeight="1" x14ac:dyDescent="0.2">
      <c r="A31" s="179">
        <v>24</v>
      </c>
      <c r="B31" s="76" t="s">
        <v>84</v>
      </c>
      <c r="C31" s="225" t="s">
        <v>56</v>
      </c>
      <c r="D31" s="254">
        <f>Truubid_ABI!G16</f>
        <v>2.3000000000000003</v>
      </c>
    </row>
    <row r="32" spans="1:4" ht="15" customHeight="1" x14ac:dyDescent="0.2">
      <c r="A32" s="172">
        <v>25</v>
      </c>
      <c r="B32" s="260" t="s">
        <v>76</v>
      </c>
      <c r="C32" s="225" t="s">
        <v>56</v>
      </c>
      <c r="D32" s="254">
        <f>Truubid_ABI!G17</f>
        <v>1.84</v>
      </c>
    </row>
    <row r="33" spans="1:6" ht="15" customHeight="1" x14ac:dyDescent="0.2">
      <c r="A33" s="172">
        <v>26</v>
      </c>
      <c r="B33" s="260" t="s">
        <v>278</v>
      </c>
      <c r="C33" s="225" t="s">
        <v>56</v>
      </c>
      <c r="D33" s="254">
        <f>18*5*0.2</f>
        <v>18</v>
      </c>
    </row>
    <row r="34" spans="1:6" ht="15" customHeight="1" thickBot="1" x14ac:dyDescent="0.25">
      <c r="A34" s="269">
        <v>27</v>
      </c>
      <c r="B34" s="270" t="s">
        <v>59</v>
      </c>
      <c r="C34" s="253" t="s">
        <v>56</v>
      </c>
      <c r="D34" s="268">
        <f>66*0.1</f>
        <v>6.6000000000000005</v>
      </c>
    </row>
    <row r="35" spans="1:6" ht="15" customHeight="1" x14ac:dyDescent="0.2">
      <c r="A35" s="298" t="s">
        <v>34</v>
      </c>
      <c r="B35" s="298"/>
      <c r="C35" s="298"/>
      <c r="D35" s="298"/>
      <c r="E35" s="282"/>
      <c r="F35" s="282"/>
    </row>
    <row r="36" spans="1:6" ht="15" customHeight="1" x14ac:dyDescent="0.2">
      <c r="A36" s="299" t="s">
        <v>54</v>
      </c>
      <c r="B36" s="299"/>
      <c r="C36" s="299"/>
      <c r="D36" s="299"/>
      <c r="E36" s="53"/>
      <c r="F36" s="53"/>
    </row>
    <row r="37" spans="1:6" ht="15" customHeight="1" x14ac:dyDescent="0.2">
      <c r="A37" s="299" t="s">
        <v>85</v>
      </c>
      <c r="B37" s="299"/>
      <c r="C37" s="299"/>
      <c r="D37" s="299"/>
      <c r="E37" s="53"/>
      <c r="F37" s="53"/>
    </row>
    <row r="38" spans="1:6" ht="15" customHeight="1" x14ac:dyDescent="0.2">
      <c r="A38" s="297" t="s">
        <v>65</v>
      </c>
      <c r="B38" s="297"/>
      <c r="C38" s="297"/>
      <c r="D38" s="297"/>
      <c r="E38" s="8"/>
      <c r="F38" s="8"/>
    </row>
    <row r="39" spans="1:6" ht="15" customHeight="1" x14ac:dyDescent="0.2">
      <c r="A39" s="297" t="s">
        <v>74</v>
      </c>
      <c r="B39" s="297"/>
      <c r="C39" s="297"/>
      <c r="D39" s="297"/>
      <c r="E39" s="8"/>
      <c r="F39" s="8"/>
    </row>
    <row r="40" spans="1:6" ht="15" customHeight="1" x14ac:dyDescent="0.2"/>
    <row r="41" spans="1:6" ht="15" customHeight="1" x14ac:dyDescent="0.2"/>
  </sheetData>
  <mergeCells count="10">
    <mergeCell ref="A3:D3"/>
    <mergeCell ref="A20:D20"/>
    <mergeCell ref="A25:D25"/>
    <mergeCell ref="A12:D12"/>
    <mergeCell ref="A14:D14"/>
    <mergeCell ref="A38:D38"/>
    <mergeCell ref="A39:D39"/>
    <mergeCell ref="A35:D35"/>
    <mergeCell ref="A36:D36"/>
    <mergeCell ref="A37:D37"/>
  </mergeCells>
  <phoneticPr fontId="4" type="noConversion"/>
  <pageMargins left="1.1811023622047245" right="0.98425196850393704" top="0.98425196850393704" bottom="0.98425196850393704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"/>
  <sheetViews>
    <sheetView view="pageLayout" zoomScaleNormal="100" workbookViewId="0">
      <selection activeCell="D22" sqref="D22"/>
    </sheetView>
  </sheetViews>
  <sheetFormatPr defaultColWidth="42.5703125" defaultRowHeight="12.75" x14ac:dyDescent="0.2"/>
  <cols>
    <col min="1" max="1" width="3.7109375" style="4" customWidth="1"/>
    <col min="2" max="2" width="60.28515625" style="4" customWidth="1"/>
    <col min="3" max="3" width="6.7109375" style="4" customWidth="1"/>
    <col min="4" max="4" width="6" style="4" customWidth="1"/>
    <col min="5" max="5" width="12.7109375" style="4" customWidth="1"/>
    <col min="6" max="6" width="13.7109375" style="4" customWidth="1"/>
    <col min="7" max="16384" width="42.5703125" style="4"/>
  </cols>
  <sheetData>
    <row r="1" spans="1:6" ht="16.5" thickBot="1" x14ac:dyDescent="0.3">
      <c r="A1" s="307" t="s">
        <v>159</v>
      </c>
      <c r="B1" s="307"/>
      <c r="C1" s="307"/>
      <c r="D1" s="307"/>
    </row>
    <row r="2" spans="1:6" ht="15" customHeight="1" thickBot="1" x14ac:dyDescent="0.25">
      <c r="A2" s="308" t="s">
        <v>46</v>
      </c>
      <c r="B2" s="310" t="s">
        <v>17</v>
      </c>
      <c r="C2" s="311"/>
      <c r="D2" s="311"/>
      <c r="E2" s="311"/>
      <c r="F2" s="312"/>
    </row>
    <row r="3" spans="1:6" ht="39" thickBot="1" x14ac:dyDescent="0.25">
      <c r="A3" s="309"/>
      <c r="B3" s="102" t="s">
        <v>13</v>
      </c>
      <c r="C3" s="103" t="s">
        <v>18</v>
      </c>
      <c r="D3" s="112" t="s">
        <v>19</v>
      </c>
      <c r="E3" s="104" t="s">
        <v>20</v>
      </c>
      <c r="F3" s="105" t="s">
        <v>21</v>
      </c>
    </row>
    <row r="4" spans="1:6" ht="25.5" x14ac:dyDescent="0.2">
      <c r="A4" s="30">
        <v>1</v>
      </c>
      <c r="B4" s="36" t="s">
        <v>60</v>
      </c>
      <c r="C4" s="37" t="s">
        <v>8</v>
      </c>
      <c r="D4" s="30">
        <v>1</v>
      </c>
      <c r="E4" s="91" t="s">
        <v>107</v>
      </c>
      <c r="F4" s="90" t="s">
        <v>97</v>
      </c>
    </row>
    <row r="5" spans="1:6" ht="15" customHeight="1" x14ac:dyDescent="0.2">
      <c r="A5" s="93">
        <v>2</v>
      </c>
      <c r="B5" s="94" t="s">
        <v>98</v>
      </c>
      <c r="C5" s="92" t="s">
        <v>3</v>
      </c>
      <c r="D5" s="2">
        <v>7</v>
      </c>
      <c r="E5" s="305" t="s">
        <v>106</v>
      </c>
      <c r="F5" s="303" t="s">
        <v>97</v>
      </c>
    </row>
    <row r="6" spans="1:6" ht="15" customHeight="1" x14ac:dyDescent="0.2">
      <c r="A6" s="93">
        <v>3</v>
      </c>
      <c r="B6" s="34" t="s">
        <v>77</v>
      </c>
      <c r="C6" s="39" t="s">
        <v>2</v>
      </c>
      <c r="D6" s="73">
        <v>0.84</v>
      </c>
      <c r="E6" s="306"/>
      <c r="F6" s="304"/>
    </row>
    <row r="7" spans="1:6" ht="15" customHeight="1" x14ac:dyDescent="0.2">
      <c r="A7" s="93">
        <v>4</v>
      </c>
      <c r="B7" s="9" t="s">
        <v>78</v>
      </c>
      <c r="C7" s="52" t="s">
        <v>2</v>
      </c>
      <c r="D7" s="73">
        <v>0.84</v>
      </c>
      <c r="E7" s="306"/>
      <c r="F7" s="304"/>
    </row>
    <row r="8" spans="1:6" ht="15" customHeight="1" x14ac:dyDescent="0.2">
      <c r="A8" s="93">
        <v>5</v>
      </c>
      <c r="B8" s="34" t="s">
        <v>96</v>
      </c>
      <c r="C8" s="39" t="s">
        <v>8</v>
      </c>
      <c r="D8" s="1">
        <v>1</v>
      </c>
      <c r="E8" s="306"/>
      <c r="F8" s="304"/>
    </row>
    <row r="9" spans="1:6" ht="15" customHeight="1" thickBot="1" x14ac:dyDescent="0.25">
      <c r="A9" s="113">
        <v>6</v>
      </c>
      <c r="B9" s="62" t="s">
        <v>105</v>
      </c>
      <c r="C9" s="45" t="s">
        <v>2</v>
      </c>
      <c r="D9" s="3">
        <v>0.84</v>
      </c>
      <c r="E9" s="219" t="s">
        <v>272</v>
      </c>
      <c r="F9" s="218" t="s">
        <v>271</v>
      </c>
    </row>
  </sheetData>
  <mergeCells count="5">
    <mergeCell ref="F5:F8"/>
    <mergeCell ref="E5:E8"/>
    <mergeCell ref="A1:D1"/>
    <mergeCell ref="A2:A3"/>
    <mergeCell ref="B2:F2"/>
  </mergeCells>
  <phoneticPr fontId="4" type="noConversion"/>
  <pageMargins left="1.1811023622047245" right="0.98425196850393704" top="0.98425196850393704" bottom="0.98425196850393704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"/>
  <sheetViews>
    <sheetView view="pageLayout" zoomScaleNormal="100" workbookViewId="0">
      <selection activeCell="F30" sqref="F30"/>
    </sheetView>
  </sheetViews>
  <sheetFormatPr defaultColWidth="9.140625" defaultRowHeight="12.75" x14ac:dyDescent="0.2"/>
  <cols>
    <col min="1" max="1" width="3.7109375" style="4" customWidth="1"/>
    <col min="2" max="2" width="7.7109375" style="4" customWidth="1"/>
    <col min="3" max="3" width="9.7109375" style="4" customWidth="1"/>
    <col min="4" max="4" width="20.42578125" style="4" bestFit="1" customWidth="1"/>
    <col min="5" max="5" width="45.7109375" style="4" customWidth="1"/>
    <col min="6" max="7" width="11.7109375" style="4" customWidth="1"/>
    <col min="8" max="8" width="9.7109375" style="4" customWidth="1"/>
    <col min="9" max="16384" width="9.140625" style="4"/>
  </cols>
  <sheetData>
    <row r="1" spans="1:8" ht="16.5" thickBot="1" x14ac:dyDescent="0.3">
      <c r="A1" s="307" t="s">
        <v>263</v>
      </c>
      <c r="B1" s="307"/>
      <c r="C1" s="307"/>
      <c r="D1" s="307"/>
    </row>
    <row r="2" spans="1:8" ht="15" customHeight="1" thickBot="1" x14ac:dyDescent="0.25">
      <c r="A2" s="320" t="s">
        <v>22</v>
      </c>
      <c r="B2" s="321"/>
      <c r="C2" s="321"/>
      <c r="D2" s="321"/>
      <c r="E2" s="321"/>
      <c r="F2" s="321"/>
      <c r="G2" s="321"/>
      <c r="H2" s="322"/>
    </row>
    <row r="3" spans="1:8" ht="15" customHeight="1" x14ac:dyDescent="0.2">
      <c r="A3" s="323" t="s">
        <v>46</v>
      </c>
      <c r="B3" s="326" t="s">
        <v>23</v>
      </c>
      <c r="C3" s="327" t="s">
        <v>24</v>
      </c>
      <c r="D3" s="330" t="s">
        <v>25</v>
      </c>
      <c r="E3" s="333" t="s">
        <v>26</v>
      </c>
      <c r="F3" s="334"/>
      <c r="G3" s="335"/>
      <c r="H3" s="313" t="s">
        <v>27</v>
      </c>
    </row>
    <row r="4" spans="1:8" ht="15" customHeight="1" x14ac:dyDescent="0.2">
      <c r="A4" s="324"/>
      <c r="B4" s="316"/>
      <c r="C4" s="328"/>
      <c r="D4" s="331"/>
      <c r="E4" s="316" t="s">
        <v>25</v>
      </c>
      <c r="F4" s="318" t="s">
        <v>28</v>
      </c>
      <c r="G4" s="319"/>
      <c r="H4" s="314"/>
    </row>
    <row r="5" spans="1:8" ht="15" customHeight="1" thickBot="1" x14ac:dyDescent="0.25">
      <c r="A5" s="325"/>
      <c r="B5" s="317"/>
      <c r="C5" s="329"/>
      <c r="D5" s="332"/>
      <c r="E5" s="317"/>
      <c r="F5" s="54" t="s">
        <v>29</v>
      </c>
      <c r="G5" s="55" t="s">
        <v>30</v>
      </c>
      <c r="H5" s="315"/>
    </row>
    <row r="6" spans="1:8" ht="26.25" thickBot="1" x14ac:dyDescent="0.25">
      <c r="A6" s="241">
        <v>1</v>
      </c>
      <c r="B6" s="242">
        <v>8054</v>
      </c>
      <c r="C6" s="243" t="s">
        <v>266</v>
      </c>
      <c r="D6" s="247" t="s">
        <v>268</v>
      </c>
      <c r="E6" s="89" t="s">
        <v>269</v>
      </c>
      <c r="F6" s="244" t="s">
        <v>267</v>
      </c>
      <c r="G6" s="245" t="s">
        <v>270</v>
      </c>
      <c r="H6" s="246">
        <v>24.73</v>
      </c>
    </row>
    <row r="7" spans="1:8" ht="15" customHeight="1" x14ac:dyDescent="0.2">
      <c r="A7" s="7" t="s">
        <v>14</v>
      </c>
      <c r="C7" s="8"/>
      <c r="D7" s="8"/>
      <c r="E7" s="8"/>
      <c r="F7" s="8"/>
      <c r="G7" s="8"/>
      <c r="H7" s="8"/>
    </row>
  </sheetData>
  <mergeCells count="10">
    <mergeCell ref="A1:D1"/>
    <mergeCell ref="H3:H5"/>
    <mergeCell ref="E4:E5"/>
    <mergeCell ref="F4:G4"/>
    <mergeCell ref="A2:H2"/>
    <mergeCell ref="A3:A5"/>
    <mergeCell ref="B3:B5"/>
    <mergeCell ref="C3:C5"/>
    <mergeCell ref="D3:D5"/>
    <mergeCell ref="E3:G3"/>
  </mergeCells>
  <pageMargins left="1.1811023622047243" right="0.98425196850393704" top="0.98425196850393704" bottom="0.98425196850393704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A5D49-FE1D-48D6-A3DD-3B75F84F6A32}">
  <dimension ref="A1:P33"/>
  <sheetViews>
    <sheetView view="pageLayout" zoomScaleNormal="100" workbookViewId="0">
      <selection activeCell="M25" sqref="M25"/>
    </sheetView>
  </sheetViews>
  <sheetFormatPr defaultColWidth="42.5703125" defaultRowHeight="12.75" x14ac:dyDescent="0.2"/>
  <cols>
    <col min="1" max="1" width="3.7109375" style="4" customWidth="1"/>
    <col min="2" max="4" width="6.7109375" style="4" customWidth="1"/>
    <col min="5" max="6" width="8.7109375" style="4" customWidth="1"/>
    <col min="7" max="10" width="6.7109375" style="4" customWidth="1"/>
    <col min="11" max="13" width="9.7109375" style="4" customWidth="1"/>
    <col min="14" max="15" width="6.7109375" style="4" customWidth="1"/>
    <col min="16" max="16" width="9.7109375" style="4" customWidth="1"/>
    <col min="17" max="17" width="12.7109375" style="4" customWidth="1"/>
    <col min="18" max="16384" width="42.5703125" style="4"/>
  </cols>
  <sheetData>
    <row r="1" spans="1:16" ht="16.5" thickBot="1" x14ac:dyDescent="0.3">
      <c r="A1" s="177" t="s">
        <v>262</v>
      </c>
      <c r="B1" s="177"/>
      <c r="C1" s="177"/>
      <c r="D1" s="177"/>
    </row>
    <row r="2" spans="1:16" ht="15" customHeight="1" x14ac:dyDescent="0.2">
      <c r="A2" s="343" t="s">
        <v>46</v>
      </c>
      <c r="B2" s="353" t="s">
        <v>160</v>
      </c>
      <c r="C2" s="354"/>
      <c r="D2" s="355"/>
      <c r="E2" s="346" t="s">
        <v>163</v>
      </c>
      <c r="F2" s="348" t="s">
        <v>164</v>
      </c>
      <c r="G2" s="350" t="s">
        <v>33</v>
      </c>
      <c r="H2" s="351"/>
      <c r="I2" s="351"/>
      <c r="J2" s="351"/>
      <c r="K2" s="352"/>
      <c r="L2" s="346" t="s">
        <v>171</v>
      </c>
      <c r="M2" s="360" t="s">
        <v>173</v>
      </c>
      <c r="N2" s="360" t="s">
        <v>174</v>
      </c>
      <c r="O2" s="360" t="s">
        <v>175</v>
      </c>
      <c r="P2" s="362" t="s">
        <v>176</v>
      </c>
    </row>
    <row r="3" spans="1:16" ht="69.95" customHeight="1" x14ac:dyDescent="0.2">
      <c r="A3" s="344"/>
      <c r="B3" s="356" t="s">
        <v>162</v>
      </c>
      <c r="C3" s="358" t="s">
        <v>161</v>
      </c>
      <c r="D3" s="106" t="s">
        <v>87</v>
      </c>
      <c r="E3" s="347"/>
      <c r="F3" s="349"/>
      <c r="G3" s="338" t="s">
        <v>165</v>
      </c>
      <c r="H3" s="339"/>
      <c r="I3" s="340" t="s">
        <v>79</v>
      </c>
      <c r="J3" s="339"/>
      <c r="K3" s="341" t="s">
        <v>170</v>
      </c>
      <c r="L3" s="347"/>
      <c r="M3" s="361"/>
      <c r="N3" s="361"/>
      <c r="O3" s="361"/>
      <c r="P3" s="363"/>
    </row>
    <row r="4" spans="1:16" ht="15" customHeight="1" thickBot="1" x14ac:dyDescent="0.25">
      <c r="A4" s="345"/>
      <c r="B4" s="357"/>
      <c r="C4" s="359"/>
      <c r="D4" s="174" t="s">
        <v>7</v>
      </c>
      <c r="E4" s="169" t="s">
        <v>1</v>
      </c>
      <c r="F4" s="167" t="s">
        <v>1</v>
      </c>
      <c r="G4" s="171" t="s">
        <v>166</v>
      </c>
      <c r="H4" s="165" t="s">
        <v>167</v>
      </c>
      <c r="I4" s="165" t="s">
        <v>168</v>
      </c>
      <c r="J4" s="165" t="s">
        <v>169</v>
      </c>
      <c r="K4" s="342"/>
      <c r="L4" s="169" t="s">
        <v>1</v>
      </c>
      <c r="M4" s="165" t="s">
        <v>172</v>
      </c>
      <c r="N4" s="165" t="s">
        <v>172</v>
      </c>
      <c r="O4" s="165" t="s">
        <v>3</v>
      </c>
      <c r="P4" s="166" t="s">
        <v>172</v>
      </c>
    </row>
    <row r="5" spans="1:16" ht="15" customHeight="1" x14ac:dyDescent="0.2">
      <c r="A5" s="25">
        <v>1</v>
      </c>
      <c r="B5" s="9" t="s">
        <v>254</v>
      </c>
      <c r="C5" s="97" t="s">
        <v>256</v>
      </c>
      <c r="D5" s="175">
        <f>39-0</f>
        <v>39</v>
      </c>
      <c r="E5" s="173"/>
      <c r="F5" s="168"/>
      <c r="G5" s="9"/>
      <c r="H5" s="163"/>
      <c r="I5" s="163"/>
      <c r="J5" s="163"/>
      <c r="K5" s="164"/>
      <c r="L5" s="170"/>
      <c r="M5" s="163"/>
      <c r="N5" s="163"/>
      <c r="O5" s="163"/>
      <c r="P5" s="164"/>
    </row>
    <row r="6" spans="1:16" ht="15" customHeight="1" x14ac:dyDescent="0.2">
      <c r="A6" s="172">
        <v>2</v>
      </c>
      <c r="B6" s="96" t="s">
        <v>256</v>
      </c>
      <c r="C6" s="161" t="s">
        <v>230</v>
      </c>
      <c r="D6" s="72">
        <f>289-39</f>
        <v>250</v>
      </c>
      <c r="E6" s="226"/>
      <c r="F6" s="227"/>
      <c r="G6" s="34"/>
      <c r="H6" s="208"/>
      <c r="J6" s="232">
        <f>D6*3/10000</f>
        <v>7.4999999999999997E-2</v>
      </c>
      <c r="K6" s="78"/>
      <c r="L6" s="58">
        <f>D6*13/10000</f>
        <v>0.32500000000000001</v>
      </c>
      <c r="M6" s="208"/>
      <c r="N6" s="208"/>
      <c r="O6" s="208"/>
      <c r="P6" s="78"/>
    </row>
    <row r="7" spans="1:16" ht="15" customHeight="1" x14ac:dyDescent="0.2">
      <c r="A7" s="172">
        <v>3</v>
      </c>
      <c r="B7" s="34" t="s">
        <v>230</v>
      </c>
      <c r="C7" s="6" t="s">
        <v>255</v>
      </c>
      <c r="D7" s="32">
        <f>360-289</f>
        <v>71</v>
      </c>
      <c r="E7" s="226"/>
      <c r="F7" s="227"/>
      <c r="G7" s="63">
        <f>D7*15/10000*0.1</f>
        <v>1.065E-2</v>
      </c>
      <c r="H7" s="208"/>
      <c r="I7" s="232">
        <f>D7*16/10000*0.1</f>
        <v>1.1360000000000002E-2</v>
      </c>
      <c r="J7" s="232">
        <f>D7*16/10000*0.7</f>
        <v>7.9519999999999993E-2</v>
      </c>
      <c r="K7" s="78"/>
      <c r="L7" s="58">
        <f>SUM(G7:J7)</f>
        <v>0.10153</v>
      </c>
      <c r="M7" s="208"/>
      <c r="N7" s="208"/>
      <c r="O7" s="208"/>
      <c r="P7" s="78"/>
    </row>
    <row r="8" spans="1:16" ht="15" customHeight="1" x14ac:dyDescent="0.2">
      <c r="A8" s="172">
        <v>4</v>
      </c>
      <c r="B8" s="34" t="s">
        <v>255</v>
      </c>
      <c r="C8" s="6" t="s">
        <v>237</v>
      </c>
      <c r="D8" s="32">
        <f>578-360</f>
        <v>218</v>
      </c>
      <c r="E8" s="226"/>
      <c r="F8" s="227"/>
      <c r="G8" s="63">
        <f>D8*15/10000</f>
        <v>0.32700000000000001</v>
      </c>
      <c r="H8" s="208"/>
      <c r="I8" s="208"/>
      <c r="J8" s="208"/>
      <c r="K8" s="78"/>
      <c r="L8" s="58">
        <f>D8*15/10000</f>
        <v>0.32700000000000001</v>
      </c>
      <c r="M8" s="208"/>
      <c r="N8" s="208"/>
      <c r="O8" s="208"/>
      <c r="P8" s="78"/>
    </row>
    <row r="9" spans="1:16" ht="15" customHeight="1" x14ac:dyDescent="0.2">
      <c r="A9" s="172">
        <v>5</v>
      </c>
      <c r="B9" s="34" t="s">
        <v>237</v>
      </c>
      <c r="C9" s="6" t="s">
        <v>238</v>
      </c>
      <c r="D9" s="72">
        <f>590-578</f>
        <v>12</v>
      </c>
      <c r="E9" s="226"/>
      <c r="F9" s="227"/>
      <c r="G9" s="34"/>
      <c r="H9" s="208"/>
      <c r="I9" s="208"/>
      <c r="J9" s="208"/>
      <c r="K9" s="78"/>
      <c r="L9" s="38"/>
      <c r="M9" s="208"/>
      <c r="N9" s="208"/>
      <c r="O9" s="208"/>
      <c r="P9" s="78"/>
    </row>
    <row r="10" spans="1:16" ht="15" customHeight="1" thickBot="1" x14ac:dyDescent="0.25">
      <c r="A10" s="176">
        <v>6</v>
      </c>
      <c r="B10" s="100" t="s">
        <v>238</v>
      </c>
      <c r="C10" s="56" t="s">
        <v>243</v>
      </c>
      <c r="D10" s="61">
        <f>739-590</f>
        <v>149</v>
      </c>
      <c r="E10" s="228"/>
      <c r="F10" s="99"/>
      <c r="G10" s="203"/>
      <c r="H10" s="233">
        <f>D10*15/10000*0.1</f>
        <v>2.2350000000000002E-2</v>
      </c>
      <c r="I10" s="232">
        <f>D10*16/10000*0.2</f>
        <v>4.768E-2</v>
      </c>
      <c r="J10" s="233">
        <f>D10*15/10000*0.7</f>
        <v>0.15645000000000001</v>
      </c>
      <c r="K10" s="79"/>
      <c r="L10" s="58">
        <f>SUM(H10:J10)</f>
        <v>0.22648000000000001</v>
      </c>
      <c r="M10" s="101"/>
      <c r="N10" s="101"/>
      <c r="O10" s="101"/>
      <c r="P10" s="79"/>
    </row>
    <row r="11" spans="1:16" ht="15" customHeight="1" thickBot="1" x14ac:dyDescent="0.25">
      <c r="A11" s="336" t="s">
        <v>4</v>
      </c>
      <c r="B11" s="337"/>
      <c r="C11" s="337"/>
      <c r="D11" s="210">
        <f>SUM(D5:D10)</f>
        <v>739</v>
      </c>
      <c r="E11" s="283"/>
      <c r="F11" s="284"/>
      <c r="G11" s="285">
        <f>SUM(G5:G10)</f>
        <v>0.33765000000000001</v>
      </c>
      <c r="H11" s="286">
        <f>SUM(H5:H10)</f>
        <v>2.2350000000000002E-2</v>
      </c>
      <c r="I11" s="286">
        <f>SUM(I5:I10)</f>
        <v>5.9040000000000002E-2</v>
      </c>
      <c r="J11" s="286">
        <f>SUM(J5:J10)</f>
        <v>0.31096999999999997</v>
      </c>
      <c r="K11" s="215"/>
      <c r="L11" s="287">
        <f>SUM(L5:L10)</f>
        <v>0.98001000000000005</v>
      </c>
      <c r="M11" s="229"/>
      <c r="N11" s="229"/>
      <c r="O11" s="229"/>
      <c r="P11" s="230"/>
    </row>
    <row r="12" spans="1:16" ht="15" customHeight="1" x14ac:dyDescent="0.2"/>
    <row r="13" spans="1:16" ht="15" customHeight="1" x14ac:dyDescent="0.2"/>
    <row r="14" spans="1:16" ht="15" customHeight="1" x14ac:dyDescent="0.2"/>
    <row r="15" spans="1:16" ht="15" customHeight="1" x14ac:dyDescent="0.2"/>
    <row r="16" spans="1:16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</sheetData>
  <mergeCells count="16">
    <mergeCell ref="L2:L3"/>
    <mergeCell ref="M2:M3"/>
    <mergeCell ref="N2:N3"/>
    <mergeCell ref="O2:O3"/>
    <mergeCell ref="P2:P3"/>
    <mergeCell ref="A11:C11"/>
    <mergeCell ref="G3:H3"/>
    <mergeCell ref="I3:J3"/>
    <mergeCell ref="K3:K4"/>
    <mergeCell ref="A2:A4"/>
    <mergeCell ref="E2:E3"/>
    <mergeCell ref="F2:F3"/>
    <mergeCell ref="G2:K2"/>
    <mergeCell ref="B2:D2"/>
    <mergeCell ref="B3:B4"/>
    <mergeCell ref="C3:C4"/>
  </mergeCells>
  <pageMargins left="1.1811023622047245" right="0.98425196850393704" top="0.98425196850393704" bottom="0.98425196850393704" header="0.31496062992125984" footer="0.31496062992125984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AF3A-A230-4B71-9D8A-31551CBDACCD}">
  <dimension ref="A1:O47"/>
  <sheetViews>
    <sheetView view="pageLayout" zoomScaleNormal="100" workbookViewId="0">
      <selection activeCell="M18" sqref="M18"/>
    </sheetView>
  </sheetViews>
  <sheetFormatPr defaultColWidth="42.5703125" defaultRowHeight="12.75" x14ac:dyDescent="0.2"/>
  <cols>
    <col min="1" max="1" width="3.7109375" style="4" customWidth="1"/>
    <col min="2" max="4" width="6.7109375" style="4" customWidth="1"/>
    <col min="5" max="8" width="9.7109375" style="4" customWidth="1"/>
    <col min="9" max="9" width="6.7109375" style="4" customWidth="1"/>
    <col min="10" max="10" width="7.7109375" style="4" customWidth="1"/>
    <col min="11" max="13" width="8.7109375" style="4" customWidth="1"/>
    <col min="14" max="14" width="9.7109375" style="4" customWidth="1"/>
    <col min="15" max="15" width="7.7109375" style="4" customWidth="1"/>
    <col min="16" max="16" width="12.7109375" style="4" customWidth="1"/>
    <col min="17" max="16384" width="42.5703125" style="4"/>
  </cols>
  <sheetData>
    <row r="1" spans="1:15" ht="16.5" thickBot="1" x14ac:dyDescent="0.3">
      <c r="A1" s="177" t="s">
        <v>264</v>
      </c>
      <c r="B1" s="177"/>
      <c r="C1" s="177"/>
      <c r="D1" s="177"/>
    </row>
    <row r="2" spans="1:15" ht="30" customHeight="1" x14ac:dyDescent="0.2">
      <c r="A2" s="343" t="s">
        <v>46</v>
      </c>
      <c r="B2" s="353" t="s">
        <v>160</v>
      </c>
      <c r="C2" s="354"/>
      <c r="D2" s="355"/>
      <c r="E2" s="343" t="s">
        <v>247</v>
      </c>
      <c r="F2" s="364" t="s">
        <v>178</v>
      </c>
      <c r="G2" s="365"/>
      <c r="H2" s="360" t="s">
        <v>245</v>
      </c>
      <c r="I2" s="364" t="s">
        <v>180</v>
      </c>
      <c r="J2" s="366"/>
      <c r="K2" s="346" t="s">
        <v>183</v>
      </c>
      <c r="L2" s="360" t="s">
        <v>184</v>
      </c>
      <c r="M2" s="360" t="s">
        <v>185</v>
      </c>
      <c r="N2" s="360" t="s">
        <v>186</v>
      </c>
      <c r="O2" s="362" t="s">
        <v>187</v>
      </c>
    </row>
    <row r="3" spans="1:15" ht="69.95" customHeight="1" x14ac:dyDescent="0.2">
      <c r="A3" s="344"/>
      <c r="B3" s="356" t="s">
        <v>162</v>
      </c>
      <c r="C3" s="358" t="s">
        <v>161</v>
      </c>
      <c r="D3" s="106" t="s">
        <v>87</v>
      </c>
      <c r="E3" s="369"/>
      <c r="F3" s="162" t="s">
        <v>179</v>
      </c>
      <c r="G3" s="162" t="s">
        <v>89</v>
      </c>
      <c r="H3" s="361"/>
      <c r="I3" s="160" t="s">
        <v>181</v>
      </c>
      <c r="J3" s="160" t="s">
        <v>182</v>
      </c>
      <c r="K3" s="347"/>
      <c r="L3" s="361"/>
      <c r="M3" s="361"/>
      <c r="N3" s="361"/>
      <c r="O3" s="367"/>
    </row>
    <row r="4" spans="1:15" ht="15" customHeight="1" thickBot="1" x14ac:dyDescent="0.25">
      <c r="A4" s="345"/>
      <c r="B4" s="357"/>
      <c r="C4" s="359"/>
      <c r="D4" s="174" t="s">
        <v>7</v>
      </c>
      <c r="E4" s="217" t="s">
        <v>177</v>
      </c>
      <c r="F4" s="165" t="s">
        <v>172</v>
      </c>
      <c r="G4" s="165" t="s">
        <v>172</v>
      </c>
      <c r="H4" s="165" t="s">
        <v>172</v>
      </c>
      <c r="I4" s="165" t="s">
        <v>172</v>
      </c>
      <c r="J4" s="165" t="s">
        <v>172</v>
      </c>
      <c r="K4" s="169" t="s">
        <v>7</v>
      </c>
      <c r="L4" s="165" t="s">
        <v>3</v>
      </c>
      <c r="M4" s="178" t="s">
        <v>177</v>
      </c>
      <c r="N4" s="165" t="s">
        <v>7</v>
      </c>
      <c r="O4" s="368"/>
    </row>
    <row r="5" spans="1:15" ht="15" customHeight="1" x14ac:dyDescent="0.2">
      <c r="A5" s="25">
        <v>1</v>
      </c>
      <c r="B5" s="9" t="s">
        <v>254</v>
      </c>
      <c r="C5" s="97" t="s">
        <v>225</v>
      </c>
      <c r="D5" s="175">
        <f>3-0</f>
        <v>3</v>
      </c>
      <c r="E5" s="204"/>
      <c r="F5" s="163"/>
      <c r="G5" s="207"/>
      <c r="H5" s="163"/>
      <c r="I5" s="163"/>
      <c r="J5" s="163"/>
      <c r="K5" s="170"/>
      <c r="L5" s="163"/>
      <c r="M5" s="163"/>
      <c r="N5" s="163"/>
      <c r="O5" s="164"/>
    </row>
    <row r="6" spans="1:15" ht="15" customHeight="1" x14ac:dyDescent="0.2">
      <c r="A6" s="25">
        <v>2</v>
      </c>
      <c r="B6" s="9" t="s">
        <v>225</v>
      </c>
      <c r="C6" s="97" t="s">
        <v>226</v>
      </c>
      <c r="D6" s="175">
        <f>31-3</f>
        <v>28</v>
      </c>
      <c r="E6" s="204">
        <v>0.8</v>
      </c>
      <c r="F6" s="163"/>
      <c r="G6" s="207">
        <f>D6*E6</f>
        <v>22.400000000000002</v>
      </c>
      <c r="H6" s="163"/>
      <c r="I6" s="163"/>
      <c r="J6" s="163"/>
      <c r="K6" s="170"/>
      <c r="L6" s="163">
        <v>1</v>
      </c>
      <c r="M6" s="163"/>
      <c r="N6" s="163">
        <v>20</v>
      </c>
      <c r="O6" s="164" t="s">
        <v>246</v>
      </c>
    </row>
    <row r="7" spans="1:15" ht="15" customHeight="1" x14ac:dyDescent="0.2">
      <c r="A7" s="25">
        <v>3</v>
      </c>
      <c r="B7" s="9" t="s">
        <v>226</v>
      </c>
      <c r="C7" s="97" t="s">
        <v>244</v>
      </c>
      <c r="D7" s="175">
        <f>40-31</f>
        <v>9</v>
      </c>
      <c r="E7" s="204"/>
      <c r="F7" s="163"/>
      <c r="G7" s="207"/>
      <c r="H7" s="163"/>
      <c r="I7" s="163"/>
      <c r="J7" s="163"/>
      <c r="K7" s="170"/>
      <c r="L7" s="163"/>
      <c r="M7" s="163"/>
      <c r="N7" s="163"/>
      <c r="O7" s="164"/>
    </row>
    <row r="8" spans="1:15" ht="15" customHeight="1" x14ac:dyDescent="0.2">
      <c r="A8" s="25">
        <v>4</v>
      </c>
      <c r="B8" s="96" t="s">
        <v>244</v>
      </c>
      <c r="C8" s="161" t="s">
        <v>227</v>
      </c>
      <c r="D8" s="72">
        <f>82-40</f>
        <v>42</v>
      </c>
      <c r="E8" s="205">
        <v>1.4</v>
      </c>
      <c r="F8" s="209">
        <f>D8*E8</f>
        <v>58.8</v>
      </c>
      <c r="G8" s="208"/>
      <c r="H8" s="208"/>
      <c r="I8" s="208"/>
      <c r="J8" s="209">
        <f>SUM(F8:H8)*0.6</f>
        <v>35.279999999999994</v>
      </c>
      <c r="K8" s="38"/>
      <c r="L8" s="208"/>
      <c r="M8" s="208"/>
      <c r="N8" s="208"/>
      <c r="O8" s="78"/>
    </row>
    <row r="9" spans="1:15" ht="15" customHeight="1" x14ac:dyDescent="0.2">
      <c r="A9" s="25">
        <v>5</v>
      </c>
      <c r="B9" s="34" t="s">
        <v>227</v>
      </c>
      <c r="C9" s="6" t="s">
        <v>228</v>
      </c>
      <c r="D9" s="32">
        <f>142-82</f>
        <v>60</v>
      </c>
      <c r="E9" s="205">
        <v>1.35</v>
      </c>
      <c r="F9" s="209">
        <f t="shared" ref="F9:F17" si="0">D9*E9</f>
        <v>81</v>
      </c>
      <c r="G9" s="208"/>
      <c r="H9" s="208"/>
      <c r="I9" s="208"/>
      <c r="J9" s="209">
        <f t="shared" ref="J9:J24" si="1">SUM(F9:H9)*0.6</f>
        <v>48.6</v>
      </c>
      <c r="K9" s="38"/>
      <c r="L9" s="208"/>
      <c r="M9" s="208"/>
      <c r="N9" s="208"/>
      <c r="O9" s="78"/>
    </row>
    <row r="10" spans="1:15" ht="15" customHeight="1" x14ac:dyDescent="0.2">
      <c r="A10" s="25">
        <v>6</v>
      </c>
      <c r="B10" s="34" t="s">
        <v>228</v>
      </c>
      <c r="C10" s="6" t="s">
        <v>229</v>
      </c>
      <c r="D10" s="32">
        <f>215-142</f>
        <v>73</v>
      </c>
      <c r="E10" s="205">
        <v>1.8</v>
      </c>
      <c r="F10" s="209">
        <f t="shared" si="0"/>
        <v>131.4</v>
      </c>
      <c r="G10" s="208"/>
      <c r="H10" s="208"/>
      <c r="I10" s="208"/>
      <c r="J10" s="209">
        <f t="shared" si="1"/>
        <v>78.84</v>
      </c>
      <c r="K10" s="38"/>
      <c r="L10" s="208"/>
      <c r="M10" s="208"/>
      <c r="N10" s="208"/>
      <c r="O10" s="78"/>
    </row>
    <row r="11" spans="1:15" ht="15" customHeight="1" x14ac:dyDescent="0.2">
      <c r="A11" s="25">
        <v>7</v>
      </c>
      <c r="B11" s="34" t="s">
        <v>229</v>
      </c>
      <c r="C11" s="6" t="s">
        <v>242</v>
      </c>
      <c r="D11" s="72">
        <f>266-215</f>
        <v>51</v>
      </c>
      <c r="E11" s="205">
        <v>2.6</v>
      </c>
      <c r="F11" s="209">
        <f t="shared" si="0"/>
        <v>132.6</v>
      </c>
      <c r="G11" s="208"/>
      <c r="H11" s="208"/>
      <c r="I11" s="208"/>
      <c r="J11" s="209">
        <f t="shared" si="1"/>
        <v>79.559999999999988</v>
      </c>
      <c r="K11" s="38"/>
      <c r="L11" s="208"/>
      <c r="M11" s="208"/>
      <c r="N11" s="208"/>
      <c r="O11" s="78"/>
    </row>
    <row r="12" spans="1:15" ht="15" customHeight="1" x14ac:dyDescent="0.2">
      <c r="A12" s="25">
        <v>8</v>
      </c>
      <c r="B12" s="34" t="s">
        <v>242</v>
      </c>
      <c r="C12" s="6" t="s">
        <v>230</v>
      </c>
      <c r="D12" s="72">
        <f>289-266</f>
        <v>23</v>
      </c>
      <c r="E12" s="205">
        <v>4.0999999999999996</v>
      </c>
      <c r="F12" s="209">
        <f t="shared" si="0"/>
        <v>94.3</v>
      </c>
      <c r="G12" s="101"/>
      <c r="H12" s="101"/>
      <c r="I12" s="101"/>
      <c r="J12" s="209">
        <f t="shared" si="1"/>
        <v>56.58</v>
      </c>
      <c r="K12" s="33"/>
      <c r="L12" s="101"/>
      <c r="M12" s="101"/>
      <c r="N12" s="101"/>
      <c r="O12" s="79"/>
    </row>
    <row r="13" spans="1:15" ht="15" customHeight="1" x14ac:dyDescent="0.2">
      <c r="A13" s="25">
        <v>9</v>
      </c>
      <c r="B13" s="203" t="s">
        <v>230</v>
      </c>
      <c r="C13" s="56" t="s">
        <v>231</v>
      </c>
      <c r="D13" s="61">
        <f>335-289</f>
        <v>46</v>
      </c>
      <c r="E13" s="206">
        <v>3.95</v>
      </c>
      <c r="F13" s="209">
        <f t="shared" si="0"/>
        <v>181.70000000000002</v>
      </c>
      <c r="G13" s="101"/>
      <c r="H13" s="101"/>
      <c r="I13" s="101"/>
      <c r="J13" s="209">
        <f t="shared" si="1"/>
        <v>109.02000000000001</v>
      </c>
      <c r="K13" s="33"/>
      <c r="L13" s="101"/>
      <c r="M13" s="101"/>
      <c r="N13" s="101"/>
      <c r="O13" s="79"/>
    </row>
    <row r="14" spans="1:15" ht="15" customHeight="1" x14ac:dyDescent="0.2">
      <c r="A14" s="25">
        <v>10</v>
      </c>
      <c r="B14" s="203" t="s">
        <v>231</v>
      </c>
      <c r="C14" s="56" t="s">
        <v>232</v>
      </c>
      <c r="D14" s="61">
        <f>384-335</f>
        <v>49</v>
      </c>
      <c r="E14" s="206">
        <v>3.7</v>
      </c>
      <c r="F14" s="209">
        <f t="shared" si="0"/>
        <v>181.3</v>
      </c>
      <c r="G14" s="101"/>
      <c r="H14" s="101"/>
      <c r="I14" s="101"/>
      <c r="J14" s="209">
        <f t="shared" si="1"/>
        <v>108.78</v>
      </c>
      <c r="K14" s="33"/>
      <c r="L14" s="101"/>
      <c r="M14" s="101"/>
      <c r="N14" s="101"/>
      <c r="O14" s="79"/>
    </row>
    <row r="15" spans="1:15" ht="15" customHeight="1" x14ac:dyDescent="0.2">
      <c r="A15" s="25">
        <v>11</v>
      </c>
      <c r="B15" s="203" t="s">
        <v>232</v>
      </c>
      <c r="C15" s="56" t="s">
        <v>233</v>
      </c>
      <c r="D15" s="61">
        <f>414-384</f>
        <v>30</v>
      </c>
      <c r="E15" s="206">
        <v>3.55</v>
      </c>
      <c r="F15" s="209">
        <f t="shared" si="0"/>
        <v>106.5</v>
      </c>
      <c r="G15" s="101"/>
      <c r="H15" s="101"/>
      <c r="I15" s="101"/>
      <c r="J15" s="209">
        <f t="shared" si="1"/>
        <v>63.9</v>
      </c>
      <c r="K15" s="33"/>
      <c r="L15" s="101"/>
      <c r="M15" s="101"/>
      <c r="N15" s="101"/>
      <c r="O15" s="79"/>
    </row>
    <row r="16" spans="1:15" ht="15" customHeight="1" x14ac:dyDescent="0.2">
      <c r="A16" s="25">
        <v>12</v>
      </c>
      <c r="B16" s="203" t="s">
        <v>233</v>
      </c>
      <c r="C16" s="56" t="s">
        <v>234</v>
      </c>
      <c r="D16" s="61">
        <f>461-414</f>
        <v>47</v>
      </c>
      <c r="E16" s="206">
        <v>2.35</v>
      </c>
      <c r="F16" s="209">
        <f t="shared" si="0"/>
        <v>110.45</v>
      </c>
      <c r="G16" s="101"/>
      <c r="H16" s="101"/>
      <c r="I16" s="101"/>
      <c r="J16" s="209">
        <f t="shared" si="1"/>
        <v>66.27</v>
      </c>
      <c r="K16" s="33"/>
      <c r="L16" s="101"/>
      <c r="M16" s="101"/>
      <c r="N16" s="101"/>
      <c r="O16" s="79"/>
    </row>
    <row r="17" spans="1:15" ht="15" customHeight="1" x14ac:dyDescent="0.2">
      <c r="A17" s="25">
        <v>13</v>
      </c>
      <c r="B17" s="203" t="s">
        <v>234</v>
      </c>
      <c r="C17" s="56" t="s">
        <v>235</v>
      </c>
      <c r="D17" s="61">
        <f>500-461</f>
        <v>39</v>
      </c>
      <c r="E17" s="206">
        <v>2.2000000000000002</v>
      </c>
      <c r="F17" s="209">
        <f t="shared" si="0"/>
        <v>85.800000000000011</v>
      </c>
      <c r="G17" s="101"/>
      <c r="H17" s="101"/>
      <c r="I17" s="101"/>
      <c r="J17" s="209">
        <f t="shared" si="1"/>
        <v>51.480000000000004</v>
      </c>
      <c r="K17" s="33"/>
      <c r="L17" s="101"/>
      <c r="M17" s="101"/>
      <c r="N17" s="101"/>
      <c r="O17" s="79"/>
    </row>
    <row r="18" spans="1:15" ht="15" customHeight="1" x14ac:dyDescent="0.2">
      <c r="A18" s="25">
        <v>14</v>
      </c>
      <c r="B18" s="203" t="s">
        <v>235</v>
      </c>
      <c r="C18" s="56" t="s">
        <v>236</v>
      </c>
      <c r="D18" s="61">
        <f>544-500</f>
        <v>44</v>
      </c>
      <c r="E18" s="206">
        <v>2.35</v>
      </c>
      <c r="F18" s="209">
        <f>D18*E18*0.9</f>
        <v>93.06</v>
      </c>
      <c r="G18" s="101"/>
      <c r="H18" s="216">
        <f>D18*E18*0.1</f>
        <v>10.340000000000002</v>
      </c>
      <c r="I18" s="101"/>
      <c r="J18" s="209">
        <f t="shared" si="1"/>
        <v>62.04</v>
      </c>
      <c r="K18" s="33"/>
      <c r="L18" s="101"/>
      <c r="M18" s="101"/>
      <c r="N18" s="101"/>
      <c r="O18" s="79"/>
    </row>
    <row r="19" spans="1:15" ht="15" customHeight="1" x14ac:dyDescent="0.2">
      <c r="A19" s="25">
        <v>15</v>
      </c>
      <c r="B19" s="203" t="s">
        <v>236</v>
      </c>
      <c r="C19" s="56" t="s">
        <v>237</v>
      </c>
      <c r="D19" s="61">
        <f>578-544</f>
        <v>34</v>
      </c>
      <c r="E19" s="206">
        <v>2.9</v>
      </c>
      <c r="F19" s="209">
        <f>D19*E19*0.3</f>
        <v>29.58</v>
      </c>
      <c r="G19" s="101"/>
      <c r="H19" s="216">
        <f>D19*E19*0.7</f>
        <v>69.02</v>
      </c>
      <c r="I19" s="101"/>
      <c r="J19" s="209">
        <f t="shared" si="1"/>
        <v>59.16</v>
      </c>
      <c r="K19" s="33"/>
      <c r="L19" s="101"/>
      <c r="M19" s="101"/>
      <c r="N19" s="101"/>
      <c r="O19" s="79"/>
    </row>
    <row r="20" spans="1:15" ht="15" customHeight="1" x14ac:dyDescent="0.2">
      <c r="A20" s="25">
        <v>16</v>
      </c>
      <c r="B20" s="203" t="s">
        <v>237</v>
      </c>
      <c r="C20" s="56" t="s">
        <v>238</v>
      </c>
      <c r="D20" s="61">
        <f>590-578</f>
        <v>12</v>
      </c>
      <c r="E20" s="206"/>
      <c r="F20" s="209"/>
      <c r="G20" s="101"/>
      <c r="H20" s="216"/>
      <c r="I20" s="101"/>
      <c r="J20" s="209"/>
      <c r="K20" s="33"/>
      <c r="L20" s="101"/>
      <c r="M20" s="101"/>
      <c r="N20" s="101"/>
      <c r="O20" s="79"/>
    </row>
    <row r="21" spans="1:15" ht="15" customHeight="1" x14ac:dyDescent="0.2">
      <c r="A21" s="25">
        <v>17</v>
      </c>
      <c r="B21" s="203" t="s">
        <v>238</v>
      </c>
      <c r="C21" s="56" t="s">
        <v>239</v>
      </c>
      <c r="D21" s="61">
        <f>604-590</f>
        <v>14</v>
      </c>
      <c r="E21" s="206">
        <v>1.6</v>
      </c>
      <c r="F21" s="209">
        <f>D21*E21*0.4</f>
        <v>8.9600000000000009</v>
      </c>
      <c r="G21" s="101"/>
      <c r="H21" s="216">
        <f>D21*E21*0.6</f>
        <v>13.440000000000001</v>
      </c>
      <c r="I21" s="101"/>
      <c r="J21" s="209">
        <f t="shared" si="1"/>
        <v>13.440000000000001</v>
      </c>
      <c r="K21" s="33"/>
      <c r="L21" s="101">
        <v>1</v>
      </c>
      <c r="M21" s="101"/>
      <c r="N21" s="101"/>
      <c r="O21" s="79"/>
    </row>
    <row r="22" spans="1:15" ht="15" customHeight="1" x14ac:dyDescent="0.2">
      <c r="A22" s="25">
        <v>18</v>
      </c>
      <c r="B22" s="203" t="s">
        <v>239</v>
      </c>
      <c r="C22" s="56" t="s">
        <v>240</v>
      </c>
      <c r="D22" s="61">
        <f>656-604</f>
        <v>52</v>
      </c>
      <c r="E22" s="206">
        <v>1.8</v>
      </c>
      <c r="F22" s="209">
        <f>D22*E22*0.4</f>
        <v>37.440000000000005</v>
      </c>
      <c r="G22" s="101"/>
      <c r="H22" s="216">
        <f>D22*E22*0.6</f>
        <v>56.160000000000004</v>
      </c>
      <c r="I22" s="101"/>
      <c r="J22" s="209">
        <f t="shared" si="1"/>
        <v>56.160000000000004</v>
      </c>
      <c r="K22" s="33"/>
      <c r="L22" s="101"/>
      <c r="M22" s="101"/>
      <c r="N22" s="101"/>
      <c r="O22" s="79"/>
    </row>
    <row r="23" spans="1:15" ht="15" customHeight="1" x14ac:dyDescent="0.2">
      <c r="A23" s="25">
        <v>19</v>
      </c>
      <c r="B23" s="203" t="s">
        <v>240</v>
      </c>
      <c r="C23" s="56" t="s">
        <v>241</v>
      </c>
      <c r="D23" s="61">
        <f>700-656</f>
        <v>44</v>
      </c>
      <c r="E23" s="206">
        <v>1.1000000000000001</v>
      </c>
      <c r="F23" s="209">
        <f>D23*E23*0.2</f>
        <v>9.6800000000000015</v>
      </c>
      <c r="G23" s="101"/>
      <c r="H23" s="216">
        <f>D23*E23*0.8</f>
        <v>38.720000000000006</v>
      </c>
      <c r="I23" s="101"/>
      <c r="J23" s="209">
        <f t="shared" si="1"/>
        <v>29.040000000000003</v>
      </c>
      <c r="K23" s="33"/>
      <c r="L23" s="101"/>
      <c r="M23" s="101"/>
      <c r="N23" s="101"/>
      <c r="O23" s="79"/>
    </row>
    <row r="24" spans="1:15" ht="15" customHeight="1" thickBot="1" x14ac:dyDescent="0.25">
      <c r="A24" s="172">
        <v>20</v>
      </c>
      <c r="B24" s="203" t="s">
        <v>241</v>
      </c>
      <c r="C24" s="56" t="s">
        <v>243</v>
      </c>
      <c r="D24" s="61">
        <f>739-700</f>
        <v>39</v>
      </c>
      <c r="E24" s="206">
        <v>0.65</v>
      </c>
      <c r="F24" s="209">
        <f>D24*E24*0.5</f>
        <v>12.675000000000001</v>
      </c>
      <c r="G24" s="101"/>
      <c r="H24" s="216">
        <f>D24*E24*0.5</f>
        <v>12.675000000000001</v>
      </c>
      <c r="I24" s="101"/>
      <c r="J24" s="209">
        <f t="shared" si="1"/>
        <v>15.21</v>
      </c>
      <c r="K24" s="33"/>
      <c r="L24" s="101"/>
      <c r="M24" s="101"/>
      <c r="N24" s="101"/>
      <c r="O24" s="79"/>
    </row>
    <row r="25" spans="1:15" ht="15" customHeight="1" thickBot="1" x14ac:dyDescent="0.25">
      <c r="A25" s="336" t="s">
        <v>4</v>
      </c>
      <c r="B25" s="337"/>
      <c r="C25" s="337"/>
      <c r="D25" s="210">
        <f>SUM(D5:D24)</f>
        <v>739</v>
      </c>
      <c r="E25" s="211"/>
      <c r="F25" s="212">
        <f>SUM(F6:F24)</f>
        <v>1355.2450000000001</v>
      </c>
      <c r="G25" s="212">
        <f>SUM(G6:G24)</f>
        <v>22.400000000000002</v>
      </c>
      <c r="H25" s="212">
        <f>SUM(H6:H24)</f>
        <v>200.35500000000002</v>
      </c>
      <c r="I25" s="213"/>
      <c r="J25" s="212">
        <f>SUM(J6:J24)</f>
        <v>933.3599999999999</v>
      </c>
      <c r="K25" s="214"/>
      <c r="L25" s="212">
        <f>SUM(L6:L24)</f>
        <v>2</v>
      </c>
      <c r="M25" s="213"/>
      <c r="N25" s="212">
        <f>SUM(N6:N24)</f>
        <v>20</v>
      </c>
      <c r="O25" s="215"/>
    </row>
    <row r="26" spans="1:15" ht="15" customHeight="1" x14ac:dyDescent="0.2">
      <c r="F26" s="51">
        <f>SUM(F25:H25)</f>
        <v>1578.0000000000002</v>
      </c>
      <c r="J26" s="4">
        <f>SUM(F25,H25)*0.6</f>
        <v>933.36</v>
      </c>
    </row>
    <row r="27" spans="1:15" ht="15" customHeight="1" x14ac:dyDescent="0.2"/>
    <row r="28" spans="1:15" ht="15" customHeight="1" x14ac:dyDescent="0.2"/>
    <row r="29" spans="1:15" ht="15" customHeight="1" x14ac:dyDescent="0.2"/>
    <row r="30" spans="1:15" ht="15" customHeight="1" x14ac:dyDescent="0.2"/>
    <row r="31" spans="1:15" ht="15" customHeight="1" x14ac:dyDescent="0.2"/>
    <row r="32" spans="1:1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</sheetData>
  <mergeCells count="14">
    <mergeCell ref="A25:C25"/>
    <mergeCell ref="F2:G2"/>
    <mergeCell ref="I2:J2"/>
    <mergeCell ref="O2:O4"/>
    <mergeCell ref="H2:H3"/>
    <mergeCell ref="L2:L3"/>
    <mergeCell ref="M2:M3"/>
    <mergeCell ref="N2:N3"/>
    <mergeCell ref="B3:B4"/>
    <mergeCell ref="C3:C4"/>
    <mergeCell ref="A2:A4"/>
    <mergeCell ref="B2:D2"/>
    <mergeCell ref="E2:E3"/>
    <mergeCell ref="K2:K3"/>
  </mergeCells>
  <pageMargins left="1.1811023622047245" right="0.98425196850393704" top="0.98425196850393704" bottom="0.98425196850393704" header="0.31496062992125984" footer="0.31496062992125984"/>
  <pageSetup paperSize="9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47"/>
  <sheetViews>
    <sheetView view="pageLayout" zoomScaleNormal="100" zoomScaleSheetLayoutView="100" workbookViewId="0">
      <selection activeCell="P37" sqref="P37"/>
    </sheetView>
  </sheetViews>
  <sheetFormatPr defaultColWidth="9.140625" defaultRowHeight="12.75" x14ac:dyDescent="0.2"/>
  <cols>
    <col min="1" max="1" width="4.5703125" style="4" customWidth="1"/>
    <col min="2" max="2" width="8.7109375" style="4" customWidth="1"/>
    <col min="3" max="5" width="7.7109375" style="4" customWidth="1"/>
    <col min="6" max="7" width="11.7109375" style="4" customWidth="1"/>
    <col min="8" max="8" width="8.7109375" style="4" customWidth="1"/>
    <col min="9" max="10" width="5.7109375" style="4" customWidth="1"/>
    <col min="11" max="15" width="8.7109375" style="4" customWidth="1"/>
    <col min="16" max="16" width="6.5703125" style="4" customWidth="1"/>
    <col min="17" max="17" width="6.7109375" style="4" customWidth="1"/>
    <col min="18" max="20" width="4.7109375" style="4" customWidth="1"/>
    <col min="21" max="21" width="6.7109375" style="4" customWidth="1"/>
    <col min="22" max="22" width="25" style="4" customWidth="1"/>
    <col min="23" max="16384" width="9.140625" style="4"/>
  </cols>
  <sheetData>
    <row r="1" spans="1:22" ht="16.5" thickBot="1" x14ac:dyDescent="0.25">
      <c r="A1" s="95" t="s">
        <v>265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22" ht="30" customHeight="1" x14ac:dyDescent="0.2">
      <c r="A2" s="394" t="s">
        <v>108</v>
      </c>
      <c r="B2" s="395"/>
      <c r="C2" s="395"/>
      <c r="D2" s="395"/>
      <c r="E2" s="396"/>
      <c r="F2" s="397" t="s">
        <v>141</v>
      </c>
      <c r="G2" s="398"/>
      <c r="H2" s="405" t="s">
        <v>118</v>
      </c>
      <c r="I2" s="405"/>
      <c r="J2" s="405"/>
      <c r="K2" s="406"/>
      <c r="L2" s="407" t="s">
        <v>123</v>
      </c>
      <c r="M2" s="406"/>
      <c r="N2" s="385" t="s">
        <v>128</v>
      </c>
      <c r="O2" s="388" t="s">
        <v>127</v>
      </c>
      <c r="P2" s="391" t="s">
        <v>216</v>
      </c>
      <c r="Q2" s="391" t="s">
        <v>129</v>
      </c>
      <c r="R2" s="370" t="s">
        <v>134</v>
      </c>
      <c r="S2" s="371"/>
      <c r="T2" s="371"/>
      <c r="U2" s="372"/>
      <c r="V2" s="379" t="s">
        <v>15</v>
      </c>
    </row>
    <row r="3" spans="1:22" ht="51" customHeight="1" x14ac:dyDescent="0.2">
      <c r="A3" s="403" t="s">
        <v>109</v>
      </c>
      <c r="B3" s="401" t="s">
        <v>110</v>
      </c>
      <c r="C3" s="399" t="s">
        <v>111</v>
      </c>
      <c r="D3" s="399" t="s">
        <v>113</v>
      </c>
      <c r="E3" s="401" t="s">
        <v>117</v>
      </c>
      <c r="F3" s="107" t="s">
        <v>114</v>
      </c>
      <c r="G3" s="10" t="s">
        <v>115</v>
      </c>
      <c r="H3" s="413" t="s">
        <v>126</v>
      </c>
      <c r="I3" s="401" t="s">
        <v>121</v>
      </c>
      <c r="J3" s="413"/>
      <c r="K3" s="408" t="s">
        <v>122</v>
      </c>
      <c r="L3" s="403" t="s">
        <v>124</v>
      </c>
      <c r="M3" s="408" t="s">
        <v>125</v>
      </c>
      <c r="N3" s="386"/>
      <c r="O3" s="389"/>
      <c r="P3" s="392"/>
      <c r="Q3" s="392"/>
      <c r="R3" s="373"/>
      <c r="S3" s="374"/>
      <c r="T3" s="374"/>
      <c r="U3" s="375"/>
      <c r="V3" s="380"/>
    </row>
    <row r="4" spans="1:22" ht="38.25" x14ac:dyDescent="0.2">
      <c r="A4" s="386"/>
      <c r="B4" s="392"/>
      <c r="C4" s="389"/>
      <c r="D4" s="389"/>
      <c r="E4" s="392"/>
      <c r="F4" s="107" t="s">
        <v>116</v>
      </c>
      <c r="G4" s="10" t="s">
        <v>116</v>
      </c>
      <c r="H4" s="414"/>
      <c r="I4" s="393"/>
      <c r="J4" s="414"/>
      <c r="K4" s="409"/>
      <c r="L4" s="387"/>
      <c r="M4" s="409"/>
      <c r="N4" s="387"/>
      <c r="O4" s="390"/>
      <c r="P4" s="393"/>
      <c r="Q4" s="393"/>
      <c r="R4" s="373"/>
      <c r="S4" s="374"/>
      <c r="T4" s="374"/>
      <c r="U4" s="375"/>
      <c r="V4" s="380"/>
    </row>
    <row r="5" spans="1:22" ht="15.75" customHeight="1" thickBot="1" x14ac:dyDescent="0.25">
      <c r="A5" s="404"/>
      <c r="B5" s="402"/>
      <c r="C5" s="13" t="s">
        <v>112</v>
      </c>
      <c r="D5" s="400"/>
      <c r="E5" s="14" t="s">
        <v>7</v>
      </c>
      <c r="F5" s="12">
        <v>100</v>
      </c>
      <c r="G5" s="11">
        <v>100</v>
      </c>
      <c r="H5" s="114" t="s">
        <v>7</v>
      </c>
      <c r="I5" s="13" t="s">
        <v>119</v>
      </c>
      <c r="J5" s="13" t="s">
        <v>120</v>
      </c>
      <c r="K5" s="11" t="s">
        <v>3</v>
      </c>
      <c r="L5" s="12" t="s">
        <v>3</v>
      </c>
      <c r="M5" s="11" t="s">
        <v>56</v>
      </c>
      <c r="N5" s="14" t="s">
        <v>56</v>
      </c>
      <c r="O5" s="14" t="s">
        <v>56</v>
      </c>
      <c r="P5" s="14" t="s">
        <v>55</v>
      </c>
      <c r="Q5" s="14" t="s">
        <v>55</v>
      </c>
      <c r="R5" s="376"/>
      <c r="S5" s="377"/>
      <c r="T5" s="377"/>
      <c r="U5" s="378"/>
      <c r="V5" s="381"/>
    </row>
    <row r="6" spans="1:22" ht="89.25" x14ac:dyDescent="0.2">
      <c r="A6" s="118" t="s">
        <v>217</v>
      </c>
      <c r="B6" s="48" t="s">
        <v>155</v>
      </c>
      <c r="C6" s="125">
        <v>100</v>
      </c>
      <c r="D6" s="119" t="s">
        <v>100</v>
      </c>
      <c r="E6" s="146">
        <v>31</v>
      </c>
      <c r="F6" s="120"/>
      <c r="G6" s="121"/>
      <c r="H6" s="122"/>
      <c r="I6" s="199"/>
      <c r="J6" s="200"/>
      <c r="K6" s="156"/>
      <c r="L6" s="154"/>
      <c r="M6" s="126"/>
      <c r="N6" s="122"/>
      <c r="O6" s="138"/>
      <c r="P6" s="139"/>
      <c r="Q6" s="139"/>
      <c r="R6" s="129"/>
      <c r="S6" s="131"/>
      <c r="T6" s="132"/>
      <c r="U6" s="133"/>
      <c r="V6" s="123" t="s">
        <v>135</v>
      </c>
    </row>
    <row r="7" spans="1:22" ht="63.75" x14ac:dyDescent="0.2">
      <c r="A7" s="59" t="s">
        <v>218</v>
      </c>
      <c r="B7" s="148" t="s">
        <v>156</v>
      </c>
      <c r="C7" s="124" t="s">
        <v>136</v>
      </c>
      <c r="D7" s="60" t="s">
        <v>99</v>
      </c>
      <c r="E7" s="147" t="s">
        <v>146</v>
      </c>
      <c r="F7" s="116"/>
      <c r="G7" s="117"/>
      <c r="H7" s="115"/>
      <c r="I7" s="201"/>
      <c r="J7" s="202"/>
      <c r="K7" s="157"/>
      <c r="L7" s="155"/>
      <c r="M7" s="127"/>
      <c r="N7" s="115"/>
      <c r="O7" s="140"/>
      <c r="P7" s="141"/>
      <c r="Q7" s="141"/>
      <c r="R7" s="130"/>
      <c r="S7" s="134"/>
      <c r="T7" s="135"/>
      <c r="U7" s="136"/>
      <c r="V7" s="65" t="s">
        <v>137</v>
      </c>
    </row>
    <row r="8" spans="1:22" ht="25.5" x14ac:dyDescent="0.2">
      <c r="A8" s="59" t="s">
        <v>219</v>
      </c>
      <c r="B8" s="148" t="s">
        <v>139</v>
      </c>
      <c r="C8" s="124" t="s">
        <v>138</v>
      </c>
      <c r="D8" s="60" t="s">
        <v>100</v>
      </c>
      <c r="E8" s="147" t="s">
        <v>147</v>
      </c>
      <c r="F8" s="116"/>
      <c r="G8" s="117"/>
      <c r="H8" s="115"/>
      <c r="I8" s="201"/>
      <c r="J8" s="202"/>
      <c r="K8" s="157"/>
      <c r="L8" s="155"/>
      <c r="M8" s="127"/>
      <c r="N8" s="115"/>
      <c r="O8" s="140"/>
      <c r="P8" s="141"/>
      <c r="Q8" s="141"/>
      <c r="R8" s="130"/>
      <c r="S8" s="134"/>
      <c r="T8" s="135"/>
      <c r="U8" s="136"/>
      <c r="V8" s="65" t="s">
        <v>140</v>
      </c>
    </row>
    <row r="9" spans="1:22" ht="63.75" x14ac:dyDescent="0.2">
      <c r="A9" s="59" t="s">
        <v>220</v>
      </c>
      <c r="B9" s="148" t="s">
        <v>157</v>
      </c>
      <c r="C9" s="124" t="s">
        <v>136</v>
      </c>
      <c r="D9" s="60" t="s">
        <v>99</v>
      </c>
      <c r="E9" s="147" t="s">
        <v>148</v>
      </c>
      <c r="F9" s="116"/>
      <c r="G9" s="117"/>
      <c r="H9" s="115">
        <v>21.66</v>
      </c>
      <c r="I9" s="201" t="s">
        <v>214</v>
      </c>
      <c r="J9" s="202"/>
      <c r="K9" s="157">
        <v>1</v>
      </c>
      <c r="L9" s="155">
        <v>2</v>
      </c>
      <c r="M9" s="127"/>
      <c r="N9" s="115"/>
      <c r="O9" s="140">
        <f>Truubid_ABI!D11</f>
        <v>148</v>
      </c>
      <c r="P9" s="141">
        <f>18*4.5</f>
        <v>81</v>
      </c>
      <c r="Q9" s="141"/>
      <c r="R9" s="130" t="s">
        <v>136</v>
      </c>
      <c r="S9" s="134" t="s">
        <v>99</v>
      </c>
      <c r="T9" s="135">
        <v>9</v>
      </c>
      <c r="U9" s="136" t="s">
        <v>215</v>
      </c>
      <c r="V9" s="65" t="s">
        <v>142</v>
      </c>
    </row>
    <row r="10" spans="1:22" ht="38.25" x14ac:dyDescent="0.2">
      <c r="A10" s="59" t="s">
        <v>221</v>
      </c>
      <c r="B10" s="88" t="s">
        <v>224</v>
      </c>
      <c r="C10" s="124">
        <v>70</v>
      </c>
      <c r="D10" s="60" t="s">
        <v>143</v>
      </c>
      <c r="E10" s="145">
        <v>3.5</v>
      </c>
      <c r="F10" s="116"/>
      <c r="G10" s="117"/>
      <c r="H10" s="115">
        <v>21.77</v>
      </c>
      <c r="I10" s="201">
        <v>6</v>
      </c>
      <c r="J10" s="202"/>
      <c r="K10" s="157">
        <v>1</v>
      </c>
      <c r="L10" s="155">
        <v>1</v>
      </c>
      <c r="M10" s="128"/>
      <c r="N10" s="115"/>
      <c r="O10" s="142">
        <f>Truubid_ABI!E11</f>
        <v>80</v>
      </c>
      <c r="P10" s="141"/>
      <c r="Q10" s="141"/>
      <c r="R10" s="130">
        <v>100</v>
      </c>
      <c r="S10" s="134" t="s">
        <v>99</v>
      </c>
      <c r="T10" s="137">
        <v>6</v>
      </c>
      <c r="U10" s="136" t="s">
        <v>71</v>
      </c>
      <c r="V10" s="77" t="s">
        <v>144</v>
      </c>
    </row>
    <row r="11" spans="1:22" ht="63.75" x14ac:dyDescent="0.2">
      <c r="A11" s="59" t="s">
        <v>222</v>
      </c>
      <c r="B11" s="148" t="s">
        <v>158</v>
      </c>
      <c r="C11" s="124" t="s">
        <v>145</v>
      </c>
      <c r="D11" s="60" t="s">
        <v>100</v>
      </c>
      <c r="E11" s="158" t="s">
        <v>149</v>
      </c>
      <c r="F11" s="116"/>
      <c r="G11" s="117"/>
      <c r="H11" s="115">
        <v>21.94</v>
      </c>
      <c r="I11" s="201">
        <v>12</v>
      </c>
      <c r="J11" s="202"/>
      <c r="K11" s="157">
        <v>1</v>
      </c>
      <c r="L11" s="155">
        <v>4</v>
      </c>
      <c r="M11" s="128"/>
      <c r="N11" s="115"/>
      <c r="O11" s="266">
        <f>Truubid_ABI!F11</f>
        <v>21.119999999999997</v>
      </c>
      <c r="P11" s="147"/>
      <c r="Q11" s="147">
        <f>12.7*5.4</f>
        <v>68.58</v>
      </c>
      <c r="R11" s="130">
        <v>100</v>
      </c>
      <c r="S11" s="134" t="s">
        <v>99</v>
      </c>
      <c r="T11" s="135">
        <v>12</v>
      </c>
      <c r="U11" s="136" t="s">
        <v>71</v>
      </c>
      <c r="V11" s="65" t="s">
        <v>150</v>
      </c>
    </row>
    <row r="12" spans="1:22" ht="39" thickBot="1" x14ac:dyDescent="0.25">
      <c r="A12" s="59" t="s">
        <v>223</v>
      </c>
      <c r="B12" s="88" t="s">
        <v>70</v>
      </c>
      <c r="C12" s="124" t="s">
        <v>151</v>
      </c>
      <c r="D12" s="60" t="s">
        <v>152</v>
      </c>
      <c r="E12" s="147" t="s">
        <v>153</v>
      </c>
      <c r="F12" s="143"/>
      <c r="G12" s="144"/>
      <c r="H12" s="115"/>
      <c r="I12" s="201"/>
      <c r="J12" s="202"/>
      <c r="K12" s="157"/>
      <c r="L12" s="155"/>
      <c r="M12" s="127"/>
      <c r="N12" s="115"/>
      <c r="O12" s="140"/>
      <c r="P12" s="141"/>
      <c r="Q12" s="141"/>
      <c r="R12" s="130"/>
      <c r="S12" s="134"/>
      <c r="T12" s="135"/>
      <c r="U12" s="136"/>
      <c r="V12" s="65" t="s">
        <v>154</v>
      </c>
    </row>
    <row r="13" spans="1:22" ht="15.75" customHeight="1" thickBot="1" x14ac:dyDescent="0.25">
      <c r="A13" s="439" t="s">
        <v>47</v>
      </c>
      <c r="B13" s="440"/>
      <c r="C13" s="440"/>
      <c r="D13" s="440"/>
      <c r="E13" s="440"/>
      <c r="F13" s="149"/>
      <c r="G13" s="150"/>
      <c r="H13" s="149"/>
      <c r="I13" s="15">
        <f>SUM(I10:I11)+2*9</f>
        <v>36</v>
      </c>
      <c r="J13" s="15"/>
      <c r="K13" s="15">
        <f>SUM(K6:K12)</f>
        <v>3</v>
      </c>
      <c r="L13" s="108">
        <f>SUM(L6:L12)</f>
        <v>7</v>
      </c>
      <c r="M13" s="151"/>
      <c r="N13" s="153"/>
      <c r="O13" s="159"/>
      <c r="P13" s="159">
        <f>SUM(P6:P12)</f>
        <v>81</v>
      </c>
      <c r="Q13" s="237">
        <f>SUM(Q6:Q12)</f>
        <v>68.58</v>
      </c>
      <c r="R13" s="382"/>
      <c r="S13" s="383"/>
      <c r="T13" s="383"/>
      <c r="U13" s="384"/>
      <c r="V13" s="152"/>
    </row>
    <row r="14" spans="1:22" x14ac:dyDescent="0.2">
      <c r="A14" s="8"/>
      <c r="B14" s="8"/>
      <c r="C14" s="66"/>
      <c r="D14" s="67"/>
      <c r="E14" s="67"/>
      <c r="F14" s="67"/>
      <c r="G14" s="50"/>
      <c r="H14" s="68"/>
      <c r="I14" s="69"/>
      <c r="J14" s="67"/>
      <c r="K14" s="67"/>
      <c r="L14" s="67"/>
      <c r="M14" s="68"/>
      <c r="N14" s="68"/>
      <c r="O14" s="68"/>
      <c r="P14" s="68"/>
      <c r="Q14" s="68"/>
      <c r="R14" s="68"/>
      <c r="S14" s="50"/>
      <c r="T14" s="8"/>
      <c r="U14" s="44"/>
      <c r="V14" s="66"/>
    </row>
    <row r="15" spans="1:22" x14ac:dyDescent="0.2">
      <c r="V15" s="66"/>
    </row>
    <row r="16" spans="1:22" x14ac:dyDescent="0.2">
      <c r="A16" s="8"/>
      <c r="B16" s="8"/>
      <c r="C16" s="66"/>
      <c r="D16" s="67"/>
      <c r="E16" s="67"/>
      <c r="F16" s="67"/>
      <c r="G16" s="50"/>
      <c r="H16" s="68"/>
      <c r="I16" s="69"/>
      <c r="J16" s="67"/>
      <c r="K16" s="67"/>
      <c r="L16" s="67"/>
      <c r="M16" s="68"/>
      <c r="N16" s="68"/>
      <c r="O16" s="68"/>
      <c r="P16" s="68"/>
      <c r="Q16" s="68"/>
      <c r="R16" s="68"/>
      <c r="S16" s="50"/>
      <c r="T16" s="8"/>
      <c r="U16" s="44"/>
      <c r="V16" s="66"/>
    </row>
    <row r="17" spans="1:22" x14ac:dyDescent="0.2">
      <c r="A17" s="8"/>
      <c r="B17" s="8"/>
      <c r="C17" s="66"/>
      <c r="D17" s="67"/>
      <c r="E17" s="67"/>
      <c r="F17" s="67"/>
      <c r="G17" s="50"/>
      <c r="H17" s="68"/>
      <c r="I17" s="69"/>
      <c r="J17" s="67"/>
      <c r="K17" s="67"/>
      <c r="L17" s="67"/>
      <c r="M17" s="68"/>
      <c r="N17" s="68"/>
      <c r="O17" s="68"/>
      <c r="P17" s="68"/>
      <c r="Q17" s="68"/>
      <c r="R17" s="68"/>
      <c r="S17" s="50"/>
      <c r="T17" s="8"/>
      <c r="U17" s="44"/>
      <c r="V17" s="66"/>
    </row>
    <row r="30" spans="1:22" x14ac:dyDescent="0.2">
      <c r="B30" s="4" t="s">
        <v>199</v>
      </c>
      <c r="C30" s="4" t="s">
        <v>130</v>
      </c>
      <c r="D30" s="4" t="s">
        <v>131</v>
      </c>
      <c r="E30" s="4" t="s">
        <v>132</v>
      </c>
      <c r="F30" s="4" t="s">
        <v>133</v>
      </c>
    </row>
    <row r="31" spans="1:22" x14ac:dyDescent="0.2">
      <c r="B31" s="4">
        <v>636</v>
      </c>
      <c r="C31" s="4">
        <v>4.82</v>
      </c>
      <c r="D31" s="4">
        <v>4.76</v>
      </c>
      <c r="E31" s="4">
        <v>4.6399999999999997</v>
      </c>
      <c r="F31" s="4">
        <v>4.55</v>
      </c>
    </row>
    <row r="32" spans="1:22" x14ac:dyDescent="0.2">
      <c r="C32" s="188">
        <f>C31/$B$31</f>
        <v>7.5786163522012584E-3</v>
      </c>
      <c r="D32" s="188">
        <f t="shared" ref="D32:F32" si="0">D31/$B$31</f>
        <v>7.4842767295597483E-3</v>
      </c>
      <c r="E32" s="188">
        <f t="shared" si="0"/>
        <v>7.295597484276729E-3</v>
      </c>
      <c r="F32" s="188">
        <f t="shared" si="0"/>
        <v>7.1540880503144656E-3</v>
      </c>
    </row>
    <row r="33" spans="1:13" x14ac:dyDescent="0.2">
      <c r="A33" s="4" t="s">
        <v>200</v>
      </c>
      <c r="B33" s="47">
        <v>93.7</v>
      </c>
      <c r="C33" s="188">
        <f>$B33*C32</f>
        <v>0.71011635220125791</v>
      </c>
      <c r="D33" s="188">
        <f t="shared" ref="D33:F33" si="1">$B33*D32</f>
        <v>0.7012767295597484</v>
      </c>
      <c r="E33" s="188">
        <f t="shared" si="1"/>
        <v>0.68359748427672951</v>
      </c>
      <c r="F33" s="188">
        <f t="shared" si="1"/>
        <v>0.67033805031446547</v>
      </c>
    </row>
    <row r="34" spans="1:13" x14ac:dyDescent="0.2">
      <c r="A34" s="4" t="s">
        <v>201</v>
      </c>
      <c r="B34" s="47">
        <v>0.5</v>
      </c>
      <c r="C34" s="188">
        <f>$B34*C32</f>
        <v>3.7893081761006292E-3</v>
      </c>
      <c r="D34" s="188">
        <f t="shared" ref="D34:F34" si="2">$B34*D32</f>
        <v>3.7421383647798742E-3</v>
      </c>
      <c r="E34" s="188">
        <f t="shared" si="2"/>
        <v>3.6477987421383645E-3</v>
      </c>
      <c r="F34" s="188">
        <f t="shared" si="2"/>
        <v>3.5770440251572328E-3</v>
      </c>
    </row>
    <row r="35" spans="1:13" x14ac:dyDescent="0.2">
      <c r="A35" s="4" t="s">
        <v>202</v>
      </c>
      <c r="B35" s="4">
        <v>6.24</v>
      </c>
      <c r="C35" s="188">
        <f>$B35*C32</f>
        <v>4.7290566037735855E-2</v>
      </c>
      <c r="D35" s="188">
        <f t="shared" ref="D35:F35" si="3">$B35*D32</f>
        <v>4.6701886792452831E-2</v>
      </c>
      <c r="E35" s="188">
        <f t="shared" si="3"/>
        <v>4.5524528301886788E-2</v>
      </c>
      <c r="F35" s="188">
        <f t="shared" si="3"/>
        <v>4.4641509433962265E-2</v>
      </c>
    </row>
    <row r="38" spans="1:13" ht="13.5" thickBot="1" x14ac:dyDescent="0.25">
      <c r="B38" s="189"/>
      <c r="C38" s="189" t="s">
        <v>203</v>
      </c>
      <c r="D38" s="189"/>
      <c r="E38" s="189"/>
      <c r="F38" s="189"/>
      <c r="G38" s="189"/>
      <c r="H38" s="189"/>
      <c r="I38" s="189"/>
      <c r="J38" s="189"/>
      <c r="K38" s="189"/>
      <c r="L38" s="189"/>
      <c r="M38" s="189"/>
    </row>
    <row r="39" spans="1:13" x14ac:dyDescent="0.2">
      <c r="B39" s="415" t="s">
        <v>204</v>
      </c>
      <c r="C39" s="418" t="s">
        <v>205</v>
      </c>
      <c r="D39" s="421" t="s">
        <v>206</v>
      </c>
      <c r="E39" s="424" t="s">
        <v>207</v>
      </c>
      <c r="F39" s="427" t="s">
        <v>208</v>
      </c>
      <c r="G39" s="430" t="s">
        <v>209</v>
      </c>
      <c r="H39" s="433" t="s">
        <v>210</v>
      </c>
      <c r="I39" s="436" t="s">
        <v>211</v>
      </c>
      <c r="J39" s="410" t="s">
        <v>7</v>
      </c>
      <c r="K39" s="410" t="s">
        <v>212</v>
      </c>
      <c r="L39" s="189"/>
      <c r="M39" s="189"/>
    </row>
    <row r="40" spans="1:13" x14ac:dyDescent="0.2">
      <c r="B40" s="416"/>
      <c r="C40" s="419"/>
      <c r="D40" s="422"/>
      <c r="E40" s="425"/>
      <c r="F40" s="428"/>
      <c r="G40" s="431"/>
      <c r="H40" s="434"/>
      <c r="I40" s="437"/>
      <c r="J40" s="411"/>
      <c r="K40" s="411"/>
      <c r="L40" s="189"/>
      <c r="M40" s="189"/>
    </row>
    <row r="41" spans="1:13" ht="13.5" thickBot="1" x14ac:dyDescent="0.25">
      <c r="B41" s="417"/>
      <c r="C41" s="420"/>
      <c r="D41" s="423"/>
      <c r="E41" s="426"/>
      <c r="F41" s="429"/>
      <c r="G41" s="432"/>
      <c r="H41" s="435"/>
      <c r="I41" s="438"/>
      <c r="J41" s="412"/>
      <c r="K41" s="412"/>
      <c r="L41" s="189"/>
      <c r="M41" s="189"/>
    </row>
    <row r="42" spans="1:13" ht="15.75" thickBot="1" x14ac:dyDescent="0.25">
      <c r="B42" s="190">
        <v>1</v>
      </c>
      <c r="C42" s="191">
        <f>0.8*B42</f>
        <v>0.8</v>
      </c>
      <c r="D42" s="192">
        <v>0.31</v>
      </c>
      <c r="E42" s="193">
        <f>0.9*C42</f>
        <v>0.72000000000000008</v>
      </c>
      <c r="F42" s="194">
        <v>0.01</v>
      </c>
      <c r="G42" s="195">
        <f>0.492/I42</f>
        <v>0.81999999999999984</v>
      </c>
      <c r="H42" s="196">
        <v>0.98</v>
      </c>
      <c r="I42" s="197">
        <f>0.75*C42</f>
        <v>0.60000000000000009</v>
      </c>
      <c r="J42" s="197">
        <f>J44</f>
        <v>0.31310205062921143</v>
      </c>
      <c r="K42" s="198">
        <f>H42*J42*G42*(SQRT(2*9.8066*(C42^(3/2))))</f>
        <v>0.94257856382831495</v>
      </c>
      <c r="L42" s="189" t="s">
        <v>213</v>
      </c>
      <c r="M42" s="189">
        <v>1000</v>
      </c>
    </row>
    <row r="43" spans="1:13" x14ac:dyDescent="0.2"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</row>
    <row r="44" spans="1:13" x14ac:dyDescent="0.2">
      <c r="B44" s="189"/>
      <c r="C44" s="189"/>
      <c r="D44" s="189"/>
      <c r="E44" s="189"/>
      <c r="F44" s="189"/>
      <c r="G44" s="189"/>
      <c r="H44" s="189"/>
      <c r="I44" s="189"/>
      <c r="J44" s="189">
        <f>D42*(1+0.74*F42*E42/C42)^(3/2)</f>
        <v>0.31310205062921143</v>
      </c>
      <c r="K44" s="189"/>
      <c r="L44" s="189"/>
      <c r="M44" s="189"/>
    </row>
    <row r="47" spans="1:13" x14ac:dyDescent="0.2">
      <c r="C47" s="4">
        <f>0.16/734*1000</f>
        <v>0.21798365122615804</v>
      </c>
    </row>
  </sheetData>
  <mergeCells count="32">
    <mergeCell ref="K39:K41"/>
    <mergeCell ref="I3:J4"/>
    <mergeCell ref="B39:B41"/>
    <mergeCell ref="C39:C41"/>
    <mergeCell ref="D39:D41"/>
    <mergeCell ref="E39:E41"/>
    <mergeCell ref="F39:F41"/>
    <mergeCell ref="G39:G41"/>
    <mergeCell ref="H39:H41"/>
    <mergeCell ref="I39:I41"/>
    <mergeCell ref="J39:J41"/>
    <mergeCell ref="H3:H4"/>
    <mergeCell ref="K3:K4"/>
    <mergeCell ref="A13:E13"/>
    <mergeCell ref="H2:K2"/>
    <mergeCell ref="P2:P4"/>
    <mergeCell ref="L2:M2"/>
    <mergeCell ref="L3:L4"/>
    <mergeCell ref="M3:M4"/>
    <mergeCell ref="A2:E2"/>
    <mergeCell ref="F2:G2"/>
    <mergeCell ref="D3:D5"/>
    <mergeCell ref="B3:B5"/>
    <mergeCell ref="A3:A5"/>
    <mergeCell ref="E3:E4"/>
    <mergeCell ref="C3:C4"/>
    <mergeCell ref="R2:U5"/>
    <mergeCell ref="V2:V5"/>
    <mergeCell ref="R13:U13"/>
    <mergeCell ref="N2:N4"/>
    <mergeCell ref="O2:O4"/>
    <mergeCell ref="Q2:Q4"/>
  </mergeCells>
  <phoneticPr fontId="4" type="noConversion"/>
  <pageMargins left="1.1811023622047243" right="0.98425196850393704" top="0.98425196850393704" bottom="0.98425196850393704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EA122-324F-44E0-9C4C-12506A8E27FE}">
  <dimension ref="A1:G67"/>
  <sheetViews>
    <sheetView view="pageLayout" topLeftCell="A17" zoomScaleNormal="100" workbookViewId="0">
      <selection activeCell="G45" sqref="G45"/>
    </sheetView>
  </sheetViews>
  <sheetFormatPr defaultColWidth="42.5703125" defaultRowHeight="12.75" x14ac:dyDescent="0.2"/>
  <cols>
    <col min="1" max="1" width="3.7109375" style="4" customWidth="1"/>
    <col min="2" max="2" width="68.28515625" style="4" customWidth="1"/>
    <col min="3" max="3" width="8" style="4" customWidth="1"/>
    <col min="4" max="4" width="6.7109375" style="4" customWidth="1"/>
    <col min="5" max="6" width="10.7109375" style="4" customWidth="1"/>
    <col min="7" max="7" width="12.7109375" style="4" customWidth="1"/>
    <col min="8" max="8" width="11.7109375" style="4" customWidth="1"/>
    <col min="9" max="9" width="42.5703125" style="4" customWidth="1"/>
    <col min="10" max="10" width="6.140625" style="4" customWidth="1"/>
    <col min="11" max="16384" width="42.5703125" style="4"/>
  </cols>
  <sheetData>
    <row r="1" spans="1:7" ht="16.5" thickBot="1" x14ac:dyDescent="0.3">
      <c r="A1" s="177" t="s">
        <v>314</v>
      </c>
    </row>
    <row r="2" spans="1:7" ht="39.75" thickBot="1" x14ac:dyDescent="0.25">
      <c r="A2" s="183" t="s">
        <v>46</v>
      </c>
      <c r="B2" s="184" t="s">
        <v>188</v>
      </c>
      <c r="C2" s="184" t="s">
        <v>195</v>
      </c>
      <c r="D2" s="186" t="s">
        <v>196</v>
      </c>
      <c r="E2" s="186" t="s">
        <v>197</v>
      </c>
      <c r="F2" s="186" t="s">
        <v>198</v>
      </c>
      <c r="G2" s="185" t="s">
        <v>15</v>
      </c>
    </row>
    <row r="3" spans="1:7" ht="15" customHeight="1" x14ac:dyDescent="0.2">
      <c r="A3" s="459" t="s">
        <v>190</v>
      </c>
      <c r="B3" s="460"/>
      <c r="C3" s="460"/>
      <c r="D3" s="460"/>
      <c r="E3" s="460"/>
      <c r="F3" s="460"/>
      <c r="G3" s="461"/>
    </row>
    <row r="4" spans="1:7" ht="15" customHeight="1" x14ac:dyDescent="0.2">
      <c r="A4" s="179">
        <v>1</v>
      </c>
      <c r="B4" s="110" t="s">
        <v>72</v>
      </c>
      <c r="C4" s="161" t="s">
        <v>1</v>
      </c>
      <c r="D4" s="263">
        <f>'Tab. 1-Mahtude kokkuvõte'!D5</f>
        <v>0.33765000000000001</v>
      </c>
      <c r="E4" s="35">
        <v>343.6</v>
      </c>
      <c r="F4" s="273">
        <f>D4*E4</f>
        <v>116.01654000000001</v>
      </c>
      <c r="G4" s="180"/>
    </row>
    <row r="5" spans="1:7" ht="15" customHeight="1" x14ac:dyDescent="0.2">
      <c r="A5" s="179">
        <v>2</v>
      </c>
      <c r="B5" s="255" t="s">
        <v>73</v>
      </c>
      <c r="C5" s="161" t="s">
        <v>1</v>
      </c>
      <c r="D5" s="263">
        <f>'Tab. 1-Mahtude kokkuvõte'!D6</f>
        <v>0.33765000000000001</v>
      </c>
      <c r="E5" s="35">
        <v>460.2</v>
      </c>
      <c r="F5" s="273">
        <f t="shared" ref="F5:F12" si="0">D5*E5</f>
        <v>155.38652999999999</v>
      </c>
      <c r="G5" s="180"/>
    </row>
    <row r="6" spans="1:7" ht="15" customHeight="1" x14ac:dyDescent="0.2">
      <c r="A6" s="179">
        <v>3</v>
      </c>
      <c r="B6" s="110" t="s">
        <v>62</v>
      </c>
      <c r="C6" s="161" t="s">
        <v>1</v>
      </c>
      <c r="D6" s="263">
        <f>'Tab. 1-Mahtude kokkuvõte'!D7</f>
        <v>2.2350000000000002E-2</v>
      </c>
      <c r="E6" s="35">
        <v>429.5</v>
      </c>
      <c r="F6" s="273">
        <f t="shared" si="0"/>
        <v>9.5993250000000003</v>
      </c>
      <c r="G6" s="180"/>
    </row>
    <row r="7" spans="1:7" ht="15" customHeight="1" x14ac:dyDescent="0.2">
      <c r="A7" s="179">
        <v>4</v>
      </c>
      <c r="B7" s="110" t="s">
        <v>63</v>
      </c>
      <c r="C7" s="161" t="s">
        <v>1</v>
      </c>
      <c r="D7" s="263">
        <f>'Tab. 1-Mahtude kokkuvõte'!D8</f>
        <v>2.2350000000000002E-2</v>
      </c>
      <c r="E7" s="35">
        <v>460.2</v>
      </c>
      <c r="F7" s="273">
        <f t="shared" si="0"/>
        <v>10.28547</v>
      </c>
      <c r="G7" s="180"/>
    </row>
    <row r="8" spans="1:7" ht="15" customHeight="1" x14ac:dyDescent="0.2">
      <c r="A8" s="179">
        <v>5</v>
      </c>
      <c r="B8" s="110" t="s">
        <v>36</v>
      </c>
      <c r="C8" s="161" t="s">
        <v>1</v>
      </c>
      <c r="D8" s="263">
        <f>'Tab. 1-Mahtude kokkuvõte'!D9</f>
        <v>5.9040000000000002E-2</v>
      </c>
      <c r="E8" s="35">
        <v>1181.06</v>
      </c>
      <c r="F8" s="273">
        <f t="shared" si="0"/>
        <v>69.729782400000005</v>
      </c>
      <c r="G8" s="180"/>
    </row>
    <row r="9" spans="1:7" ht="15" customHeight="1" x14ac:dyDescent="0.2">
      <c r="A9" s="179">
        <v>6</v>
      </c>
      <c r="B9" s="110" t="s">
        <v>66</v>
      </c>
      <c r="C9" s="161" t="s">
        <v>1</v>
      </c>
      <c r="D9" s="272">
        <f>'Tab. 1-Mahtude kokkuvõte'!D10</f>
        <v>5.9040000000000002E-2</v>
      </c>
      <c r="E9" s="35">
        <v>1599.07</v>
      </c>
      <c r="F9" s="273">
        <f t="shared" si="0"/>
        <v>94.409092799999996</v>
      </c>
      <c r="G9" s="180"/>
    </row>
    <row r="10" spans="1:7" ht="15" customHeight="1" x14ac:dyDescent="0.2">
      <c r="A10" s="179">
        <v>7</v>
      </c>
      <c r="B10" s="110" t="s">
        <v>64</v>
      </c>
      <c r="C10" s="161" t="s">
        <v>1</v>
      </c>
      <c r="D10" s="272">
        <f>'Tab. 1-Mahtude kokkuvõte'!D11</f>
        <v>0.31096999999999997</v>
      </c>
      <c r="E10" s="35">
        <v>1943.87</v>
      </c>
      <c r="F10" s="273">
        <f t="shared" si="0"/>
        <v>604.48525389999986</v>
      </c>
      <c r="G10" s="180"/>
    </row>
    <row r="11" spans="1:7" ht="15" customHeight="1" x14ac:dyDescent="0.2">
      <c r="A11" s="179">
        <v>8</v>
      </c>
      <c r="B11" s="110" t="s">
        <v>67</v>
      </c>
      <c r="C11" s="161" t="s">
        <v>1</v>
      </c>
      <c r="D11" s="272">
        <f>'Tab. 1-Mahtude kokkuvõte'!D12</f>
        <v>0.31096999999999997</v>
      </c>
      <c r="E11" s="35">
        <v>2638.46</v>
      </c>
      <c r="F11" s="273">
        <f t="shared" si="0"/>
        <v>820.48190619999991</v>
      </c>
      <c r="G11" s="180"/>
    </row>
    <row r="12" spans="1:7" ht="15" customHeight="1" x14ac:dyDescent="0.2">
      <c r="A12" s="179">
        <v>9</v>
      </c>
      <c r="B12" s="271" t="s">
        <v>248</v>
      </c>
      <c r="C12" s="161" t="s">
        <v>1</v>
      </c>
      <c r="D12" s="272">
        <f>'Tab. 1-Mahtude kokkuvõte'!D13</f>
        <v>0.98001000000000005</v>
      </c>
      <c r="E12" s="35">
        <v>382.96</v>
      </c>
      <c r="F12" s="273">
        <f t="shared" si="0"/>
        <v>375.3046296</v>
      </c>
      <c r="G12" s="180"/>
    </row>
    <row r="13" spans="1:7" ht="15" customHeight="1" x14ac:dyDescent="0.2">
      <c r="A13" s="277"/>
      <c r="B13" s="278"/>
      <c r="C13" s="278"/>
      <c r="D13" s="278"/>
      <c r="E13" s="276" t="s">
        <v>4</v>
      </c>
      <c r="F13" s="275">
        <f>SUM(F4:F12)</f>
        <v>2255.6985298999998</v>
      </c>
      <c r="G13" s="281"/>
    </row>
    <row r="14" spans="1:7" ht="15" customHeight="1" x14ac:dyDescent="0.2">
      <c r="A14" s="462" t="s">
        <v>191</v>
      </c>
      <c r="B14" s="463"/>
      <c r="C14" s="463"/>
      <c r="D14" s="463"/>
      <c r="E14" s="463"/>
      <c r="F14" s="463"/>
      <c r="G14" s="464"/>
    </row>
    <row r="15" spans="1:7" ht="15" customHeight="1" x14ac:dyDescent="0.2">
      <c r="A15" s="179">
        <v>10</v>
      </c>
      <c r="B15" s="220" t="s">
        <v>250</v>
      </c>
      <c r="C15" s="223" t="s">
        <v>57</v>
      </c>
      <c r="D15" s="273">
        <f>'Tab. 1-Mahtude kokkuvõte'!D15</f>
        <v>1355.2450000000001</v>
      </c>
      <c r="E15" s="272">
        <v>1</v>
      </c>
      <c r="F15" s="273">
        <f>D15*E15</f>
        <v>1355.2450000000001</v>
      </c>
      <c r="G15" s="180"/>
    </row>
    <row r="16" spans="1:7" ht="15" customHeight="1" x14ac:dyDescent="0.2">
      <c r="A16" s="179">
        <v>11</v>
      </c>
      <c r="B16" s="220" t="s">
        <v>257</v>
      </c>
      <c r="C16" s="223" t="s">
        <v>57</v>
      </c>
      <c r="D16" s="273">
        <f>'Tab. 1-Mahtude kokkuvõte'!D16</f>
        <v>22.400000000000002</v>
      </c>
      <c r="E16" s="272">
        <v>20</v>
      </c>
      <c r="F16" s="273">
        <f t="shared" ref="F16:F22" si="1">D16*E16</f>
        <v>448.00000000000006</v>
      </c>
      <c r="G16" s="180"/>
    </row>
    <row r="17" spans="1:7" ht="15" customHeight="1" x14ac:dyDescent="0.2">
      <c r="A17" s="179">
        <v>12</v>
      </c>
      <c r="B17" s="220" t="s">
        <v>249</v>
      </c>
      <c r="C17" s="223" t="s">
        <v>57</v>
      </c>
      <c r="D17" s="273">
        <f>'Tab. 1-Mahtude kokkuvõte'!D17</f>
        <v>200.35500000000002</v>
      </c>
      <c r="E17" s="272">
        <v>100</v>
      </c>
      <c r="F17" s="273">
        <f t="shared" si="1"/>
        <v>20035.5</v>
      </c>
      <c r="G17" s="180"/>
    </row>
    <row r="18" spans="1:7" ht="15" customHeight="1" x14ac:dyDescent="0.2">
      <c r="A18" s="179">
        <v>13</v>
      </c>
      <c r="B18" s="221" t="s">
        <v>88</v>
      </c>
      <c r="C18" s="223" t="s">
        <v>57</v>
      </c>
      <c r="D18" s="273">
        <f>'Tab. 1-Mahtude kokkuvõte'!D18</f>
        <v>933.3599999999999</v>
      </c>
      <c r="E18" s="40">
        <v>0.65</v>
      </c>
      <c r="F18" s="273">
        <f t="shared" si="1"/>
        <v>606.68399999999997</v>
      </c>
      <c r="G18" s="180"/>
    </row>
    <row r="19" spans="1:7" ht="15" customHeight="1" x14ac:dyDescent="0.2">
      <c r="A19" s="179">
        <v>14</v>
      </c>
      <c r="B19" s="222" t="s">
        <v>68</v>
      </c>
      <c r="C19" s="57" t="s">
        <v>57</v>
      </c>
      <c r="D19" s="273">
        <f>'Tab. 1-Mahtude kokkuvõte'!D19</f>
        <v>137.76450000000003</v>
      </c>
      <c r="E19" s="40">
        <v>2.09</v>
      </c>
      <c r="F19" s="273">
        <f t="shared" si="1"/>
        <v>287.92780500000003</v>
      </c>
      <c r="G19" s="180"/>
    </row>
    <row r="20" spans="1:7" ht="15" customHeight="1" x14ac:dyDescent="0.2">
      <c r="A20" s="179">
        <v>15</v>
      </c>
      <c r="B20" s="221" t="s">
        <v>251</v>
      </c>
      <c r="C20" s="57" t="s">
        <v>57</v>
      </c>
      <c r="D20" s="273">
        <f>'Tab. 1-Mahtude kokkuvõte'!D20</f>
        <v>22.400000000000002</v>
      </c>
      <c r="E20" s="263">
        <v>5</v>
      </c>
      <c r="F20" s="273">
        <f t="shared" si="1"/>
        <v>112.00000000000001</v>
      </c>
      <c r="G20" s="180"/>
    </row>
    <row r="21" spans="1:7" ht="15" customHeight="1" x14ac:dyDescent="0.2">
      <c r="A21" s="179">
        <v>16</v>
      </c>
      <c r="B21" s="221" t="s">
        <v>296</v>
      </c>
      <c r="C21" s="57" t="s">
        <v>7</v>
      </c>
      <c r="D21" s="273">
        <f>'Tab. 1-Mahtude kokkuvõte'!D21</f>
        <v>20</v>
      </c>
      <c r="E21" s="272">
        <v>20</v>
      </c>
      <c r="F21" s="273">
        <f t="shared" si="1"/>
        <v>400</v>
      </c>
      <c r="G21" s="180"/>
    </row>
    <row r="22" spans="1:7" ht="15" customHeight="1" x14ac:dyDescent="0.2">
      <c r="A22" s="179">
        <v>17</v>
      </c>
      <c r="B22" s="271" t="s">
        <v>297</v>
      </c>
      <c r="C22" s="111" t="s">
        <v>3</v>
      </c>
      <c r="D22" s="273">
        <f>'Tab. 1-Mahtude kokkuvõte'!D22</f>
        <v>2</v>
      </c>
      <c r="E22" s="272">
        <v>150</v>
      </c>
      <c r="F22" s="273">
        <f t="shared" si="1"/>
        <v>300</v>
      </c>
      <c r="G22" s="180"/>
    </row>
    <row r="23" spans="1:7" ht="15" customHeight="1" x14ac:dyDescent="0.2">
      <c r="A23" s="277"/>
      <c r="B23" s="278"/>
      <c r="C23" s="278"/>
      <c r="D23" s="278"/>
      <c r="E23" s="276" t="s">
        <v>4</v>
      </c>
      <c r="F23" s="275">
        <f>SUM(F15:F22)</f>
        <v>23545.356804999999</v>
      </c>
      <c r="G23" s="281"/>
    </row>
    <row r="24" spans="1:7" ht="15" customHeight="1" x14ac:dyDescent="0.2">
      <c r="A24" s="456" t="s">
        <v>192</v>
      </c>
      <c r="B24" s="457"/>
      <c r="C24" s="457"/>
      <c r="D24" s="457"/>
      <c r="E24" s="465"/>
      <c r="F24" s="457"/>
      <c r="G24" s="458"/>
    </row>
    <row r="25" spans="1:7" ht="15" customHeight="1" x14ac:dyDescent="0.2">
      <c r="A25" s="179">
        <v>18</v>
      </c>
      <c r="B25" s="42" t="s">
        <v>69</v>
      </c>
      <c r="C25" s="225" t="s">
        <v>3</v>
      </c>
      <c r="D25" s="273">
        <f>'Tab. 1-Mahtude kokkuvõte'!D24</f>
        <v>3</v>
      </c>
      <c r="E25" s="6">
        <v>23.78</v>
      </c>
      <c r="F25" s="273">
        <f>D25*E25</f>
        <v>71.34</v>
      </c>
      <c r="G25" s="180"/>
    </row>
    <row r="26" spans="1:7" ht="15" customHeight="1" x14ac:dyDescent="0.2">
      <c r="A26" s="179">
        <v>19</v>
      </c>
      <c r="B26" s="264" t="s">
        <v>252</v>
      </c>
      <c r="C26" s="225" t="s">
        <v>7</v>
      </c>
      <c r="D26" s="273">
        <f>'Tab. 1-Mahtude kokkuvõte'!D25</f>
        <v>9</v>
      </c>
      <c r="E26" s="92">
        <f>122.56*2</f>
        <v>245.12</v>
      </c>
      <c r="F26" s="273">
        <f t="shared" ref="F26:F46" si="2">D26*E26</f>
        <v>2206.08</v>
      </c>
      <c r="G26" s="180"/>
    </row>
    <row r="27" spans="1:7" ht="15" customHeight="1" x14ac:dyDescent="0.2">
      <c r="A27" s="179">
        <v>20</v>
      </c>
      <c r="B27" s="264" t="s">
        <v>103</v>
      </c>
      <c r="C27" s="225" t="s">
        <v>7</v>
      </c>
      <c r="D27" s="273">
        <f>'Tab. 1-Mahtude kokkuvõte'!D26</f>
        <v>18</v>
      </c>
      <c r="E27" s="92">
        <v>238.99</v>
      </c>
      <c r="F27" s="273">
        <f t="shared" si="2"/>
        <v>4301.82</v>
      </c>
      <c r="G27" s="180"/>
    </row>
    <row r="28" spans="1:7" ht="15" customHeight="1" x14ac:dyDescent="0.2">
      <c r="A28" s="179">
        <v>21</v>
      </c>
      <c r="B28" s="42" t="s">
        <v>253</v>
      </c>
      <c r="C28" s="225" t="s">
        <v>38</v>
      </c>
      <c r="D28" s="273">
        <f>'Tab. 1-Mahtude kokkuvõte'!D27</f>
        <v>1</v>
      </c>
      <c r="E28" s="272">
        <v>1500</v>
      </c>
      <c r="F28" s="273">
        <f t="shared" si="2"/>
        <v>1500</v>
      </c>
      <c r="G28" s="180"/>
    </row>
    <row r="29" spans="1:7" ht="15" customHeight="1" x14ac:dyDescent="0.2">
      <c r="A29" s="179">
        <v>22</v>
      </c>
      <c r="B29" s="42" t="s">
        <v>104</v>
      </c>
      <c r="C29" s="225" t="s">
        <v>38</v>
      </c>
      <c r="D29" s="273">
        <f>'Tab. 1-Mahtude kokkuvõte'!D28</f>
        <v>2</v>
      </c>
      <c r="E29" s="272">
        <v>1117.0999999999999</v>
      </c>
      <c r="F29" s="273">
        <f t="shared" si="2"/>
        <v>2234.1999999999998</v>
      </c>
      <c r="G29" s="180"/>
    </row>
    <row r="30" spans="1:7" ht="15" customHeight="1" x14ac:dyDescent="0.2">
      <c r="A30" s="179">
        <v>23</v>
      </c>
      <c r="B30" s="110" t="s">
        <v>260</v>
      </c>
      <c r="C30" s="225" t="s">
        <v>7</v>
      </c>
      <c r="D30" s="273">
        <f>'Tab. 1-Mahtude kokkuvõte'!D29</f>
        <v>12</v>
      </c>
      <c r="E30" s="272">
        <v>10</v>
      </c>
      <c r="F30" s="273">
        <f t="shared" si="2"/>
        <v>120</v>
      </c>
      <c r="G30" s="180"/>
    </row>
    <row r="31" spans="1:7" ht="15" customHeight="1" x14ac:dyDescent="0.2">
      <c r="A31" s="179">
        <v>24</v>
      </c>
      <c r="B31" s="110" t="s">
        <v>258</v>
      </c>
      <c r="C31" s="225" t="s">
        <v>7</v>
      </c>
      <c r="D31" s="273">
        <f>'Tab. 1-Mahtude kokkuvõte'!D30</f>
        <v>38</v>
      </c>
      <c r="E31" s="272">
        <v>12</v>
      </c>
      <c r="F31" s="273">
        <f t="shared" si="2"/>
        <v>456</v>
      </c>
      <c r="G31" s="180"/>
    </row>
    <row r="32" spans="1:7" ht="15" customHeight="1" x14ac:dyDescent="0.2">
      <c r="A32" s="179">
        <v>25</v>
      </c>
      <c r="B32" s="110" t="s">
        <v>259</v>
      </c>
      <c r="C32" s="225" t="s">
        <v>7</v>
      </c>
      <c r="D32" s="274">
        <f>'Tab. 1-Mahtude kokkuvõte'!D31</f>
        <v>3.5</v>
      </c>
      <c r="E32" s="272">
        <v>12</v>
      </c>
      <c r="F32" s="273">
        <f t="shared" si="2"/>
        <v>42</v>
      </c>
      <c r="G32" s="180"/>
    </row>
    <row r="33" spans="1:7" ht="15" customHeight="1" x14ac:dyDescent="0.2">
      <c r="A33" s="179">
        <v>26</v>
      </c>
      <c r="B33" s="231" t="s">
        <v>261</v>
      </c>
      <c r="C33" s="111" t="s">
        <v>57</v>
      </c>
      <c r="D33" s="273">
        <f>'Tab. 1-Mahtude kokkuvõte'!D32</f>
        <v>90</v>
      </c>
      <c r="E33" s="40">
        <v>0.82</v>
      </c>
      <c r="F33" s="273">
        <f t="shared" si="2"/>
        <v>73.8</v>
      </c>
      <c r="G33" s="180"/>
    </row>
    <row r="34" spans="1:7" ht="15" customHeight="1" x14ac:dyDescent="0.2">
      <c r="A34" s="179">
        <v>27</v>
      </c>
      <c r="B34" s="265" t="s">
        <v>293</v>
      </c>
      <c r="C34" s="111" t="s">
        <v>57</v>
      </c>
      <c r="D34" s="273">
        <f>'Tab. 1-Mahtude kokkuvõte'!D33</f>
        <v>249.12</v>
      </c>
      <c r="E34" s="272">
        <v>4.5999999999999996</v>
      </c>
      <c r="F34" s="273">
        <f t="shared" si="2"/>
        <v>1145.952</v>
      </c>
      <c r="G34" s="180"/>
    </row>
    <row r="35" spans="1:7" ht="15" customHeight="1" x14ac:dyDescent="0.2">
      <c r="A35" s="466" t="s">
        <v>298</v>
      </c>
      <c r="B35" s="467"/>
      <c r="C35" s="467"/>
      <c r="D35" s="467"/>
      <c r="E35" s="467"/>
      <c r="F35" s="467"/>
      <c r="G35" s="468"/>
    </row>
    <row r="36" spans="1:7" ht="25.5" x14ac:dyDescent="0.2">
      <c r="A36" s="179">
        <v>28</v>
      </c>
      <c r="B36" s="265" t="s">
        <v>300</v>
      </c>
      <c r="C36" s="111" t="s">
        <v>291</v>
      </c>
      <c r="D36" s="273">
        <f>'Tab. 1-Mahtude kokkuvõte'!D35</f>
        <v>90</v>
      </c>
      <c r="E36" s="272">
        <v>1.9</v>
      </c>
      <c r="F36" s="273">
        <f t="shared" si="2"/>
        <v>171</v>
      </c>
      <c r="G36" s="180"/>
    </row>
    <row r="37" spans="1:7" ht="25.5" x14ac:dyDescent="0.2">
      <c r="A37" s="179">
        <v>29</v>
      </c>
      <c r="B37" s="265" t="s">
        <v>304</v>
      </c>
      <c r="C37" s="111" t="s">
        <v>291</v>
      </c>
      <c r="D37" s="273">
        <f>'Tab. 1-Mahtude kokkuvõte'!D36</f>
        <v>90</v>
      </c>
      <c r="E37" s="272">
        <f>18*0.2</f>
        <v>3.6</v>
      </c>
      <c r="F37" s="273">
        <f t="shared" si="2"/>
        <v>324</v>
      </c>
      <c r="G37" s="180"/>
    </row>
    <row r="38" spans="1:7" ht="25.5" x14ac:dyDescent="0.2">
      <c r="A38" s="179">
        <v>30</v>
      </c>
      <c r="B38" s="265" t="s">
        <v>305</v>
      </c>
      <c r="C38" s="111" t="s">
        <v>291</v>
      </c>
      <c r="D38" s="273">
        <f>'Tab. 1-Mahtude kokkuvõte'!D37</f>
        <v>66</v>
      </c>
      <c r="E38" s="272">
        <f>21*0.1</f>
        <v>2.1</v>
      </c>
      <c r="F38" s="273">
        <f t="shared" si="2"/>
        <v>138.6</v>
      </c>
      <c r="G38" s="180"/>
    </row>
    <row r="39" spans="1:7" ht="25.5" x14ac:dyDescent="0.2">
      <c r="A39" s="179">
        <v>31</v>
      </c>
      <c r="B39" s="265" t="s">
        <v>301</v>
      </c>
      <c r="C39" s="111" t="s">
        <v>291</v>
      </c>
      <c r="D39" s="273">
        <f>'Tab. 1-Mahtude kokkuvõte'!D38</f>
        <v>70</v>
      </c>
      <c r="E39" s="272">
        <v>1.9</v>
      </c>
      <c r="F39" s="273">
        <f t="shared" si="2"/>
        <v>133</v>
      </c>
      <c r="G39" s="180"/>
    </row>
    <row r="40" spans="1:7" ht="25.5" customHeight="1" x14ac:dyDescent="0.2">
      <c r="A40" s="179">
        <v>32</v>
      </c>
      <c r="B40" s="265" t="s">
        <v>302</v>
      </c>
      <c r="C40" s="111" t="s">
        <v>291</v>
      </c>
      <c r="D40" s="273">
        <f>'Tab. 1-Mahtude kokkuvõte'!D39</f>
        <v>65</v>
      </c>
      <c r="E40" s="92">
        <v>7.41</v>
      </c>
      <c r="F40" s="273">
        <f t="shared" si="2"/>
        <v>481.65000000000003</v>
      </c>
      <c r="G40" s="180"/>
    </row>
    <row r="41" spans="1:7" ht="25.5" customHeight="1" x14ac:dyDescent="0.2">
      <c r="A41" s="179">
        <v>33</v>
      </c>
      <c r="B41" s="265" t="s">
        <v>292</v>
      </c>
      <c r="C41" s="111" t="s">
        <v>291</v>
      </c>
      <c r="D41" s="273">
        <f>'Tab. 1-Mahtude kokkuvõte'!D40</f>
        <v>46</v>
      </c>
      <c r="E41" s="92">
        <v>21.37</v>
      </c>
      <c r="F41" s="273">
        <f t="shared" si="2"/>
        <v>983.0200000000001</v>
      </c>
      <c r="G41" s="180"/>
    </row>
    <row r="42" spans="1:7" ht="15" customHeight="1" x14ac:dyDescent="0.2">
      <c r="A42" s="466" t="s">
        <v>299</v>
      </c>
      <c r="B42" s="467"/>
      <c r="C42" s="467"/>
      <c r="D42" s="467"/>
      <c r="E42" s="467"/>
      <c r="F42" s="467"/>
      <c r="G42" s="468"/>
    </row>
    <row r="43" spans="1:7" ht="15" customHeight="1" x14ac:dyDescent="0.2">
      <c r="A43" s="179">
        <v>34</v>
      </c>
      <c r="B43" s="110" t="s">
        <v>273</v>
      </c>
      <c r="C43" s="225" t="s">
        <v>8</v>
      </c>
      <c r="D43" s="273">
        <f>'Tab. 1-Mahtude kokkuvõte'!D42</f>
        <v>1</v>
      </c>
      <c r="E43" s="92">
        <v>1000</v>
      </c>
      <c r="F43" s="273">
        <f t="shared" si="2"/>
        <v>1000</v>
      </c>
      <c r="G43" s="180"/>
    </row>
    <row r="44" spans="1:7" ht="15" customHeight="1" x14ac:dyDescent="0.2">
      <c r="A44" s="179">
        <v>35</v>
      </c>
      <c r="B44" s="110" t="s">
        <v>274</v>
      </c>
      <c r="C44" s="225" t="s">
        <v>3</v>
      </c>
      <c r="D44" s="273">
        <f>'Tab. 1-Mahtude kokkuvõte'!D43</f>
        <v>1</v>
      </c>
      <c r="E44" s="92">
        <v>2000</v>
      </c>
      <c r="F44" s="273">
        <f t="shared" si="2"/>
        <v>2000</v>
      </c>
      <c r="G44" s="180"/>
    </row>
    <row r="45" spans="1:7" ht="15" customHeight="1" x14ac:dyDescent="0.2">
      <c r="A45" s="179">
        <v>36</v>
      </c>
      <c r="B45" s="110" t="s">
        <v>295</v>
      </c>
      <c r="C45" s="225" t="s">
        <v>8</v>
      </c>
      <c r="D45" s="273">
        <f>'Tab. 1-Mahtude kokkuvõte'!D44</f>
        <v>1</v>
      </c>
      <c r="E45" s="92">
        <v>500</v>
      </c>
      <c r="F45" s="273">
        <f t="shared" si="2"/>
        <v>500</v>
      </c>
      <c r="G45" s="180"/>
    </row>
    <row r="46" spans="1:7" ht="15" customHeight="1" x14ac:dyDescent="0.2">
      <c r="A46" s="179">
        <v>37</v>
      </c>
      <c r="B46" s="110" t="s">
        <v>294</v>
      </c>
      <c r="C46" s="225" t="s">
        <v>8</v>
      </c>
      <c r="D46" s="273">
        <f>'Tab. 1-Mahtude kokkuvõte'!D45</f>
        <v>1</v>
      </c>
      <c r="E46" s="92">
        <v>300</v>
      </c>
      <c r="F46" s="273">
        <f t="shared" si="2"/>
        <v>300</v>
      </c>
      <c r="G46" s="180"/>
    </row>
    <row r="47" spans="1:7" ht="15" customHeight="1" x14ac:dyDescent="0.2">
      <c r="A47" s="277"/>
      <c r="B47" s="278"/>
      <c r="C47" s="278"/>
      <c r="D47" s="278"/>
      <c r="E47" s="276" t="s">
        <v>4</v>
      </c>
      <c r="F47" s="275">
        <f>SUM(F25:F34,F36:F41,F43:F46)</f>
        <v>18182.462</v>
      </c>
      <c r="G47" s="281"/>
    </row>
    <row r="48" spans="1:7" ht="15" customHeight="1" x14ac:dyDescent="0.2">
      <c r="A48" s="456" t="s">
        <v>193</v>
      </c>
      <c r="B48" s="457"/>
      <c r="C48" s="457"/>
      <c r="D48" s="457"/>
      <c r="E48" s="457"/>
      <c r="F48" s="457"/>
      <c r="G48" s="458"/>
    </row>
    <row r="49" spans="1:7" ht="15" customHeight="1" x14ac:dyDescent="0.2">
      <c r="A49" s="248">
        <v>38</v>
      </c>
      <c r="B49" s="249" t="s">
        <v>90</v>
      </c>
      <c r="C49" s="239" t="s">
        <v>3</v>
      </c>
      <c r="D49" s="279">
        <f>'Tab. 1-Mahtude kokkuvõte'!D47</f>
        <v>1</v>
      </c>
      <c r="E49" s="279">
        <v>120</v>
      </c>
      <c r="F49" s="280">
        <f t="shared" ref="F49" si="3">D49*E49</f>
        <v>120</v>
      </c>
      <c r="G49" s="250"/>
    </row>
    <row r="50" spans="1:7" ht="15" customHeight="1" x14ac:dyDescent="0.2">
      <c r="A50" s="277"/>
      <c r="B50" s="278"/>
      <c r="C50" s="278"/>
      <c r="D50" s="278"/>
      <c r="E50" s="276" t="s">
        <v>4</v>
      </c>
      <c r="F50" s="275">
        <f>F49</f>
        <v>120</v>
      </c>
      <c r="G50" s="281"/>
    </row>
    <row r="51" spans="1:7" ht="15" customHeight="1" x14ac:dyDescent="0.2">
      <c r="A51" s="441" t="s">
        <v>306</v>
      </c>
      <c r="B51" s="442"/>
      <c r="C51" s="442"/>
      <c r="D51" s="442"/>
      <c r="E51" s="443"/>
      <c r="F51" s="450">
        <f>SUM(F13,F23,F47,F50)</f>
        <v>44103.517334899996</v>
      </c>
      <c r="G51" s="451"/>
    </row>
    <row r="52" spans="1:7" ht="15" customHeight="1" x14ac:dyDescent="0.2">
      <c r="A52" s="444" t="s">
        <v>308</v>
      </c>
      <c r="B52" s="445"/>
      <c r="C52" s="445"/>
      <c r="D52" s="445"/>
      <c r="E52" s="446"/>
      <c r="F52" s="452">
        <f>F51*0.24</f>
        <v>10584.844160375998</v>
      </c>
      <c r="G52" s="453"/>
    </row>
    <row r="53" spans="1:7" ht="15" customHeight="1" thickBot="1" x14ac:dyDescent="0.25">
      <c r="A53" s="447" t="s">
        <v>307</v>
      </c>
      <c r="B53" s="448"/>
      <c r="C53" s="448"/>
      <c r="D53" s="448"/>
      <c r="E53" s="449"/>
      <c r="F53" s="454">
        <f>SUM(F51:F52)</f>
        <v>54688.361495275996</v>
      </c>
      <c r="G53" s="455"/>
    </row>
    <row r="54" spans="1:7" ht="15" customHeight="1" x14ac:dyDescent="0.2"/>
    <row r="55" spans="1:7" ht="15" customHeight="1" x14ac:dyDescent="0.2"/>
    <row r="56" spans="1:7" ht="15" customHeight="1" x14ac:dyDescent="0.2"/>
    <row r="57" spans="1:7" ht="15" customHeight="1" x14ac:dyDescent="0.2"/>
    <row r="58" spans="1:7" ht="15" customHeight="1" x14ac:dyDescent="0.2"/>
    <row r="59" spans="1:7" ht="15" customHeight="1" x14ac:dyDescent="0.2"/>
    <row r="60" spans="1:7" ht="15" customHeight="1" x14ac:dyDescent="0.2"/>
    <row r="61" spans="1:7" ht="15" customHeight="1" x14ac:dyDescent="0.2"/>
    <row r="62" spans="1:7" ht="15" customHeight="1" x14ac:dyDescent="0.2"/>
    <row r="63" spans="1:7" ht="15" customHeight="1" x14ac:dyDescent="0.2"/>
    <row r="64" spans="1:7" ht="15" customHeight="1" x14ac:dyDescent="0.2"/>
    <row r="65" ht="15" customHeight="1" x14ac:dyDescent="0.2"/>
    <row r="66" ht="15" customHeight="1" x14ac:dyDescent="0.2"/>
    <row r="67" ht="15" customHeight="1" x14ac:dyDescent="0.2"/>
  </sheetData>
  <mergeCells count="12">
    <mergeCell ref="A48:G48"/>
    <mergeCell ref="A3:G3"/>
    <mergeCell ref="A14:G14"/>
    <mergeCell ref="A24:G24"/>
    <mergeCell ref="A35:G35"/>
    <mergeCell ref="A42:G42"/>
    <mergeCell ref="A51:E51"/>
    <mergeCell ref="A52:E52"/>
    <mergeCell ref="A53:E53"/>
    <mergeCell ref="F51:G51"/>
    <mergeCell ref="F52:G52"/>
    <mergeCell ref="F53:G53"/>
  </mergeCells>
  <pageMargins left="1.1811023622047245" right="0.98425196850393704" top="0.98425196850393704" bottom="0.98425196850393704" header="0.31496062992125984" footer="0.31496062992125984"/>
  <pageSetup paperSize="9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72"/>
  <sheetViews>
    <sheetView view="pageLayout" zoomScaleNormal="100" workbookViewId="0">
      <selection activeCell="K36" sqref="K36"/>
    </sheetView>
  </sheetViews>
  <sheetFormatPr defaultColWidth="9.140625" defaultRowHeight="12.75" x14ac:dyDescent="0.2"/>
  <cols>
    <col min="1" max="1" width="3.7109375" style="4" customWidth="1"/>
    <col min="2" max="2" width="50.5703125" style="4" bestFit="1" customWidth="1"/>
    <col min="3" max="3" width="9.85546875" style="4" bestFit="1" customWidth="1"/>
    <col min="4" max="4" width="10.7109375" style="4" bestFit="1" customWidth="1"/>
    <col min="5" max="6" width="10.7109375" style="4" customWidth="1"/>
    <col min="7" max="12" width="9.140625" style="4"/>
    <col min="13" max="13" width="9.7109375" style="4" customWidth="1"/>
    <col min="14" max="16384" width="9.140625" style="4"/>
  </cols>
  <sheetData>
    <row r="1" spans="1:21" ht="15" customHeight="1" thickBot="1" x14ac:dyDescent="0.25">
      <c r="A1" s="17">
        <v>15</v>
      </c>
      <c r="B1" s="470" t="s">
        <v>48</v>
      </c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2"/>
      <c r="P1" s="16"/>
      <c r="Q1" s="16"/>
    </row>
    <row r="2" spans="1:21" ht="15" customHeight="1" x14ac:dyDescent="0.2">
      <c r="A2" s="18">
        <v>16</v>
      </c>
      <c r="B2" s="19" t="s">
        <v>49</v>
      </c>
      <c r="C2" s="20" t="s">
        <v>39</v>
      </c>
      <c r="D2" s="473" t="s">
        <v>41</v>
      </c>
      <c r="E2" s="475"/>
      <c r="F2" s="473" t="s">
        <v>102</v>
      </c>
      <c r="G2" s="474"/>
      <c r="H2" s="473" t="s">
        <v>61</v>
      </c>
      <c r="I2" s="475"/>
      <c r="J2" s="473" t="s">
        <v>42</v>
      </c>
      <c r="K2" s="475"/>
      <c r="L2" s="473" t="s">
        <v>43</v>
      </c>
      <c r="M2" s="475"/>
      <c r="N2" s="473" t="s">
        <v>44</v>
      </c>
      <c r="O2" s="476"/>
    </row>
    <row r="3" spans="1:21" ht="15" customHeight="1" thickBot="1" x14ac:dyDescent="0.25">
      <c r="A3" s="21">
        <v>17</v>
      </c>
      <c r="B3" s="22" t="s">
        <v>37</v>
      </c>
      <c r="C3" s="23" t="s">
        <v>40</v>
      </c>
      <c r="D3" s="23" t="s">
        <v>50</v>
      </c>
      <c r="E3" s="23" t="s">
        <v>5</v>
      </c>
      <c r="F3" s="23" t="s">
        <v>51</v>
      </c>
      <c r="G3" s="23" t="s">
        <v>12</v>
      </c>
      <c r="H3" s="23" t="s">
        <v>50</v>
      </c>
      <c r="I3" s="23" t="s">
        <v>5</v>
      </c>
      <c r="J3" s="23" t="s">
        <v>51</v>
      </c>
      <c r="K3" s="23" t="s">
        <v>12</v>
      </c>
      <c r="L3" s="23" t="s">
        <v>16</v>
      </c>
      <c r="M3" s="23" t="s">
        <v>10</v>
      </c>
      <c r="N3" s="23" t="s">
        <v>45</v>
      </c>
      <c r="O3" s="24" t="s">
        <v>3</v>
      </c>
    </row>
    <row r="4" spans="1:21" ht="15" customHeight="1" x14ac:dyDescent="0.2">
      <c r="A4" s="25">
        <v>18</v>
      </c>
      <c r="B4" s="5" t="s">
        <v>288</v>
      </c>
      <c r="C4" s="26">
        <v>1</v>
      </c>
      <c r="D4" s="70">
        <f>44*0.22</f>
        <v>9.68</v>
      </c>
      <c r="E4" s="71">
        <f>C4*D4</f>
        <v>9.68</v>
      </c>
      <c r="F4" s="74">
        <f>44*1.2</f>
        <v>52.8</v>
      </c>
      <c r="G4" s="80">
        <f>C4*F4</f>
        <v>52.8</v>
      </c>
      <c r="H4" s="98">
        <f>J4/1.2*0.05</f>
        <v>1.1500000000000001</v>
      </c>
      <c r="I4" s="81">
        <f>C4*H4</f>
        <v>1.1500000000000001</v>
      </c>
      <c r="J4" s="74">
        <f>23*1.2</f>
        <v>27.599999999999998</v>
      </c>
      <c r="K4" s="80">
        <f>C4*J4</f>
        <v>27.599999999999998</v>
      </c>
      <c r="L4" s="70">
        <f>J4/1.2*0.03</f>
        <v>0.69</v>
      </c>
      <c r="M4" s="81">
        <f>C4*L4</f>
        <v>0.69</v>
      </c>
      <c r="N4" s="6">
        <f>J4*5</f>
        <v>138</v>
      </c>
      <c r="O4" s="27">
        <f>C4*N4</f>
        <v>138</v>
      </c>
    </row>
    <row r="5" spans="1:21" ht="15" customHeight="1" x14ac:dyDescent="0.2">
      <c r="A5" s="25">
        <v>19</v>
      </c>
      <c r="B5" s="5" t="s">
        <v>101</v>
      </c>
      <c r="C5" s="26">
        <v>1</v>
      </c>
      <c r="D5" s="70">
        <f>46*0.22</f>
        <v>10.119999999999999</v>
      </c>
      <c r="E5" s="71">
        <f>C5*D5</f>
        <v>10.119999999999999</v>
      </c>
      <c r="F5" s="74">
        <f>46*1.2</f>
        <v>55.199999999999996</v>
      </c>
      <c r="G5" s="80">
        <f>C5*F5</f>
        <v>55.199999999999996</v>
      </c>
      <c r="H5" s="98"/>
      <c r="I5" s="81"/>
      <c r="J5" s="74"/>
      <c r="K5" s="80"/>
      <c r="L5" s="70"/>
      <c r="M5" s="81"/>
      <c r="N5" s="6"/>
      <c r="O5" s="27"/>
    </row>
    <row r="6" spans="1:21" ht="15" customHeight="1" thickBot="1" x14ac:dyDescent="0.25">
      <c r="A6" s="25">
        <v>20</v>
      </c>
      <c r="B6" s="5" t="s">
        <v>287</v>
      </c>
      <c r="C6" s="26">
        <v>1</v>
      </c>
      <c r="D6" s="70">
        <f>38*0.22</f>
        <v>8.36</v>
      </c>
      <c r="E6" s="71">
        <f>C6*D6</f>
        <v>8.36</v>
      </c>
      <c r="F6" s="74">
        <f>38*1.2</f>
        <v>45.6</v>
      </c>
      <c r="G6" s="80">
        <f>C6*F6</f>
        <v>45.6</v>
      </c>
      <c r="H6" s="98">
        <f>J6/1.2*0.05</f>
        <v>1.5499999999999998</v>
      </c>
      <c r="I6" s="81">
        <f>C6*H6</f>
        <v>1.5499999999999998</v>
      </c>
      <c r="J6" s="74">
        <f>31*1.2</f>
        <v>37.199999999999996</v>
      </c>
      <c r="K6" s="80">
        <f>C6*J6</f>
        <v>37.199999999999996</v>
      </c>
      <c r="L6" s="70">
        <f>J6/1.2*0.03</f>
        <v>0.92999999999999983</v>
      </c>
      <c r="M6" s="81">
        <f>C6*L6</f>
        <v>0.92999999999999983</v>
      </c>
      <c r="N6" s="6">
        <f>J6*5</f>
        <v>185.99999999999997</v>
      </c>
      <c r="O6" s="27">
        <f>C6*N6</f>
        <v>185.99999999999997</v>
      </c>
    </row>
    <row r="7" spans="1:21" ht="15" customHeight="1" thickBot="1" x14ac:dyDescent="0.25">
      <c r="A7" s="28">
        <v>23</v>
      </c>
      <c r="B7" s="29" t="s">
        <v>4</v>
      </c>
      <c r="C7" s="84">
        <f>SUM(C4:C6)</f>
        <v>3</v>
      </c>
      <c r="D7" s="84"/>
      <c r="E7" s="85">
        <f>SUM(E4:E6)</f>
        <v>28.159999999999997</v>
      </c>
      <c r="F7" s="84"/>
      <c r="G7" s="86">
        <f>SUM(G4:G6)</f>
        <v>153.6</v>
      </c>
      <c r="H7" s="86"/>
      <c r="I7" s="85">
        <f>SUM(I4:I6)</f>
        <v>2.7</v>
      </c>
      <c r="J7" s="84"/>
      <c r="K7" s="86">
        <f>SUM(K4:K6)</f>
        <v>64.8</v>
      </c>
      <c r="L7" s="84"/>
      <c r="M7" s="85">
        <f>SUM(M4:M6)</f>
        <v>1.6199999999999997</v>
      </c>
      <c r="N7" s="84"/>
      <c r="O7" s="87">
        <f>SUM(O4:O6)</f>
        <v>324</v>
      </c>
    </row>
    <row r="9" spans="1:21" x14ac:dyDescent="0.2">
      <c r="D9" s="4" t="s">
        <v>289</v>
      </c>
      <c r="E9" s="4" t="s">
        <v>290</v>
      </c>
      <c r="F9" s="4" t="s">
        <v>221</v>
      </c>
    </row>
    <row r="10" spans="1:21" ht="14.25" x14ac:dyDescent="0.2">
      <c r="B10" s="6" t="s">
        <v>261</v>
      </c>
      <c r="C10" s="111" t="s">
        <v>57</v>
      </c>
      <c r="D10" s="74">
        <f>3.2*6</f>
        <v>19.200000000000003</v>
      </c>
      <c r="E10" s="74">
        <f>7.8*9</f>
        <v>70.2</v>
      </c>
      <c r="F10" s="6">
        <v>0</v>
      </c>
      <c r="G10" s="74">
        <f>ROUNDUP(SUM(D10:F10),0)</f>
        <v>90</v>
      </c>
    </row>
    <row r="11" spans="1:21" ht="14.25" x14ac:dyDescent="0.2">
      <c r="B11" s="260" t="s">
        <v>75</v>
      </c>
      <c r="C11" s="225" t="s">
        <v>56</v>
      </c>
      <c r="D11" s="6">
        <f>13*4+8*12</f>
        <v>148</v>
      </c>
      <c r="E11" s="6">
        <f>8*8+2*(8+0)/2*2</f>
        <v>80</v>
      </c>
      <c r="F11" s="74">
        <f>4.8*2.9+2*(4.8+0)/2*1.5</f>
        <v>21.119999999999997</v>
      </c>
      <c r="G11" s="74">
        <f t="shared" ref="G11:G19" si="0">SUM(D11:F11)</f>
        <v>249.12</v>
      </c>
      <c r="J11" s="8"/>
      <c r="K11" s="7"/>
      <c r="L11" s="82"/>
      <c r="M11" s="469"/>
      <c r="N11" s="469"/>
      <c r="O11" s="469"/>
    </row>
    <row r="12" spans="1:21" ht="25.5" x14ac:dyDescent="0.2">
      <c r="B12" s="260" t="s">
        <v>80</v>
      </c>
      <c r="C12" s="225" t="s">
        <v>55</v>
      </c>
      <c r="D12" s="161">
        <f>18*5</f>
        <v>90</v>
      </c>
      <c r="E12" s="161">
        <f>10*7</f>
        <v>70</v>
      </c>
      <c r="F12" s="74"/>
      <c r="G12" s="74">
        <f t="shared" si="0"/>
        <v>160</v>
      </c>
      <c r="J12" s="8"/>
      <c r="K12" s="83"/>
      <c r="L12" s="82"/>
      <c r="M12" s="469"/>
      <c r="N12" s="469"/>
      <c r="O12" s="469"/>
      <c r="U12" s="49"/>
    </row>
    <row r="13" spans="1:21" ht="14.25" x14ac:dyDescent="0.2">
      <c r="B13" s="260" t="s">
        <v>81</v>
      </c>
      <c r="C13" s="225" t="s">
        <v>56</v>
      </c>
      <c r="D13" s="161"/>
      <c r="E13" s="262">
        <f>65*0.2</f>
        <v>13</v>
      </c>
      <c r="F13" s="31"/>
      <c r="G13" s="31">
        <f t="shared" si="0"/>
        <v>13</v>
      </c>
      <c r="U13" s="49"/>
    </row>
    <row r="14" spans="1:21" ht="14.25" x14ac:dyDescent="0.2">
      <c r="B14" s="260" t="s">
        <v>82</v>
      </c>
      <c r="C14" s="225" t="s">
        <v>56</v>
      </c>
      <c r="D14" s="161"/>
      <c r="E14" s="262">
        <f>65*35/1800</f>
        <v>1.2638888888888888</v>
      </c>
      <c r="F14" s="31"/>
      <c r="G14" s="31">
        <f t="shared" si="0"/>
        <v>1.2638888888888888</v>
      </c>
    </row>
    <row r="15" spans="1:21" ht="14.25" x14ac:dyDescent="0.2">
      <c r="B15" s="260" t="s">
        <v>83</v>
      </c>
      <c r="C15" s="225" t="s">
        <v>56</v>
      </c>
      <c r="D15" s="161"/>
      <c r="E15" s="262">
        <f>65*15/1800</f>
        <v>0.54166666666666663</v>
      </c>
      <c r="F15" s="31"/>
      <c r="G15" s="31">
        <f t="shared" si="0"/>
        <v>0.54166666666666663</v>
      </c>
    </row>
    <row r="16" spans="1:21" ht="14.25" x14ac:dyDescent="0.2">
      <c r="B16" s="260" t="s">
        <v>84</v>
      </c>
      <c r="C16" s="225" t="s">
        <v>56</v>
      </c>
      <c r="D16" s="161"/>
      <c r="E16" s="263">
        <f>46*0.05</f>
        <v>2.3000000000000003</v>
      </c>
      <c r="F16" s="31"/>
      <c r="G16" s="31">
        <f t="shared" si="0"/>
        <v>2.3000000000000003</v>
      </c>
    </row>
    <row r="17" spans="2:21" ht="14.25" x14ac:dyDescent="0.2">
      <c r="B17" s="260" t="s">
        <v>76</v>
      </c>
      <c r="C17" s="225" t="s">
        <v>56</v>
      </c>
      <c r="D17" s="161"/>
      <c r="E17" s="263">
        <f>46*0.04</f>
        <v>1.84</v>
      </c>
      <c r="F17" s="31"/>
      <c r="G17" s="31">
        <f t="shared" si="0"/>
        <v>1.84</v>
      </c>
    </row>
    <row r="18" spans="2:21" ht="14.25" x14ac:dyDescent="0.2">
      <c r="B18" s="260" t="s">
        <v>278</v>
      </c>
      <c r="C18" s="225" t="s">
        <v>56</v>
      </c>
      <c r="D18" s="261">
        <f>18*5*0.2</f>
        <v>18</v>
      </c>
      <c r="E18" s="261"/>
      <c r="F18" s="70"/>
      <c r="G18" s="74">
        <f t="shared" si="0"/>
        <v>18</v>
      </c>
    </row>
    <row r="19" spans="2:21" ht="14.25" x14ac:dyDescent="0.2">
      <c r="B19" s="260" t="s">
        <v>59</v>
      </c>
      <c r="C19" s="225" t="s">
        <v>56</v>
      </c>
      <c r="D19" s="261">
        <f>66*0.1</f>
        <v>6.6000000000000005</v>
      </c>
      <c r="E19" s="261"/>
      <c r="F19" s="70"/>
      <c r="G19" s="74">
        <f t="shared" si="0"/>
        <v>6.6000000000000005</v>
      </c>
    </row>
    <row r="22" spans="2:21" ht="15" customHeight="1" x14ac:dyDescent="0.2"/>
    <row r="27" spans="2:21" x14ac:dyDescent="0.2">
      <c r="U27" s="49"/>
    </row>
    <row r="28" spans="2:21" x14ac:dyDescent="0.2">
      <c r="U28" s="49"/>
    </row>
    <row r="36" spans="21:21" ht="15" customHeight="1" x14ac:dyDescent="0.2"/>
    <row r="41" spans="21:21" x14ac:dyDescent="0.2">
      <c r="U41" s="49"/>
    </row>
    <row r="42" spans="21:21" x14ac:dyDescent="0.2">
      <c r="U42" s="49"/>
    </row>
    <row r="53" spans="21:21" ht="15" customHeight="1" x14ac:dyDescent="0.2"/>
    <row r="60" spans="21:21" x14ac:dyDescent="0.2">
      <c r="U60" s="49"/>
    </row>
    <row r="61" spans="21:21" x14ac:dyDescent="0.2">
      <c r="U61" s="49"/>
    </row>
    <row r="62" spans="21:21" x14ac:dyDescent="0.2">
      <c r="U62" s="41"/>
    </row>
    <row r="63" spans="21:21" x14ac:dyDescent="0.2">
      <c r="U63" s="41"/>
    </row>
    <row r="64" spans="21:21" x14ac:dyDescent="0.2">
      <c r="U64" s="41"/>
    </row>
    <row r="65" spans="21:21" x14ac:dyDescent="0.2">
      <c r="U65" s="41"/>
    </row>
    <row r="66" spans="21:21" x14ac:dyDescent="0.2">
      <c r="U66" s="41"/>
    </row>
    <row r="67" spans="21:21" x14ac:dyDescent="0.2">
      <c r="U67" s="41"/>
    </row>
    <row r="68" spans="21:21" x14ac:dyDescent="0.2">
      <c r="U68" s="41"/>
    </row>
    <row r="69" spans="21:21" x14ac:dyDescent="0.2">
      <c r="U69" s="41"/>
    </row>
    <row r="70" spans="21:21" x14ac:dyDescent="0.2">
      <c r="U70" s="41"/>
    </row>
    <row r="71" spans="21:21" x14ac:dyDescent="0.2">
      <c r="U71" s="41"/>
    </row>
    <row r="72" spans="21:21" x14ac:dyDescent="0.2">
      <c r="U72" s="41"/>
    </row>
  </sheetData>
  <mergeCells count="9">
    <mergeCell ref="M11:O11"/>
    <mergeCell ref="M12:O12"/>
    <mergeCell ref="B1:O1"/>
    <mergeCell ref="F2:G2"/>
    <mergeCell ref="H2:I2"/>
    <mergeCell ref="J2:K2"/>
    <mergeCell ref="L2:M2"/>
    <mergeCell ref="N2:O2"/>
    <mergeCell ref="D2:E2"/>
  </mergeCells>
  <phoneticPr fontId="4" type="noConversion"/>
  <pageMargins left="1.1811023622047245" right="0.98425196850393704" top="0.98425196850393704" bottom="0.98425196850393704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9</vt:i4>
      </vt:variant>
    </vt:vector>
  </HeadingPairs>
  <TitlesOfParts>
    <vt:vector size="9" baseType="lpstr">
      <vt:lpstr>Tab. 1-Mahtude kokkuvõte</vt:lpstr>
      <vt:lpstr>Tab. 2-Vajalike ehitusmaterjal.</vt:lpstr>
      <vt:lpstr>Tab. 3-Uurimistööd</vt:lpstr>
      <vt:lpstr>Tab. 4-Reeperid</vt:lpstr>
      <vt:lpstr>Tab. 5-Ettevalmistus</vt:lpstr>
      <vt:lpstr>Tab. 6-Voolusäng</vt:lpstr>
      <vt:lpstr>Tab. 7-Truubid</vt:lpstr>
      <vt:lpstr>Tab. 8-Maksumus</vt:lpstr>
      <vt:lpstr>Truubid_ABI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 Näkk</dc:creator>
  <cp:keywords/>
  <dc:description/>
  <cp:lastModifiedBy>Andre Näkk</cp:lastModifiedBy>
  <cp:revision/>
  <dcterms:created xsi:type="dcterms:W3CDTF">2013-10-14T12:42:09Z</dcterms:created>
  <dcterms:modified xsi:type="dcterms:W3CDTF">2025-08-28T14:07:32Z</dcterms:modified>
  <cp:category/>
  <cp:contentStatus/>
</cp:coreProperties>
</file>